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4.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5.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drawings/drawing6.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7.xml" ContentType="application/vnd.openxmlformats-officedocument.drawing+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drawings/drawing8.xml" ContentType="application/vnd.openxmlformats-officedocument.drawing+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drawings/drawing9.xml" ContentType="application/vnd.openxmlformats-officedocument.drawing+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drawings/drawing10.xml" ContentType="application/vnd.openxmlformats-officedocument.drawing+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11.xml" ContentType="application/vnd.openxmlformats-officedocument.drawing+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filterPrivacy="1" codeName="ThisWorkbook" hidePivotFieldList="1" defaultThemeVersion="166925"/>
  <xr:revisionPtr revIDLastSave="0" documentId="13_ncr:1_{51C64FF8-BC66-443A-96FE-38A37A5F855B}" xr6:coauthVersionLast="47" xr6:coauthVersionMax="47" xr10:uidLastSave="{00000000-0000-0000-0000-000000000000}"/>
  <workbookProtection workbookAlgorithmName="SHA-512" workbookHashValue="1Mh8NBDpZhfDinFAfAyCT+5ZsuNSXhuCxfkabyxmN9vggOPwaMRJniXZQ74/0oTZ104biNYavi3qgCfv9Tl5XA==" workbookSaltValue="31SBIKcZMerSUgOYblvDbA==" workbookSpinCount="100000" lockStructure="1"/>
  <bookViews>
    <workbookView xWindow="28680" yWindow="-120" windowWidth="29040" windowHeight="15840" firstSheet="2" activeTab="2" xr2:uid="{9B358240-7421-426F-813C-68FD6FAE5DDE}"/>
  </bookViews>
  <sheets>
    <sheet name="README" sheetId="55" state="hidden" r:id="rId1"/>
    <sheet name="HicRawData" sheetId="40" state="hidden" r:id="rId2"/>
    <sheet name="AllBeds" sheetId="13" r:id="rId3"/>
    <sheet name="ES" sheetId="43" r:id="rId4"/>
    <sheet name="TH" sheetId="44" r:id="rId5"/>
    <sheet name="SH" sheetId="45" r:id="rId6"/>
    <sheet name="PSH" sheetId="46" r:id="rId7"/>
    <sheet name="OPH" sheetId="47" r:id="rId8"/>
    <sheet name="RRH" sheetId="48" r:id="rId9"/>
    <sheet name="Chronic" sheetId="51" r:id="rId10"/>
    <sheet name="Vets" sheetId="49" r:id="rId11"/>
    <sheet name="Youth" sheetId="50" r:id="rId12"/>
    <sheet name="DO_NOT_EDIT" sheetId="53" state="hidden" r:id="rId13"/>
  </sheets>
  <definedNames>
    <definedName name="_xlnm._FilterDatabase" localSheetId="1" hidden="1">HicRawData!$A$1:$CP$33</definedName>
    <definedName name="CoC">DO_NOT_EDIT!$B$2</definedName>
    <definedName name="HeadingLine2">DO_NOT_EDIT!$D$2</definedName>
    <definedName name="HeadingLine3">DO_NOT_EDIT!$D$3</definedName>
    <definedName name="HIC_Date">DO_NOT_EDIT!$B$4</definedName>
    <definedName name="HudNum">DO_NOT_EDIT!$B$1</definedName>
    <definedName name="_xlnm.Print_Area" localSheetId="2">AllBeds!$A$1:$G$73</definedName>
    <definedName name="_xlnm.Print_Area" localSheetId="9">Chronic!$A$1:$G$73</definedName>
    <definedName name="_xlnm.Print_Area" localSheetId="3">ES!$A$1:$G$73</definedName>
    <definedName name="_xlnm.Print_Area" localSheetId="1">HicRawData!$CQ$1</definedName>
    <definedName name="_xlnm.Print_Area" localSheetId="7">OPH!$A$1:$G$73</definedName>
    <definedName name="_xlnm.Print_Area" localSheetId="6">PSH!$A$1:$G$73</definedName>
    <definedName name="_xlnm.Print_Area" localSheetId="0">README!$A$1:$F$31</definedName>
    <definedName name="_xlnm.Print_Area" localSheetId="8">RRH!$A$1:$G$73</definedName>
    <definedName name="_xlnm.Print_Area" localSheetId="5">SH!$A$1:$G$73</definedName>
    <definedName name="_xlnm.Print_Area" localSheetId="4">TH!$A$1:$G$73</definedName>
    <definedName name="_xlnm.Print_Area" localSheetId="10">Vets!$A$1:$G$73</definedName>
    <definedName name="_xlnm.Print_Area" localSheetId="11">Youth!$A$1:$G$73</definedName>
    <definedName name="_xlnm.Print_Titles" localSheetId="2">AllBeds!$1:$4</definedName>
    <definedName name="_xlnm.Print_Titles" localSheetId="9">Chronic!$1:$4</definedName>
    <definedName name="_xlnm.Print_Titles" localSheetId="3">ES!$1:$4</definedName>
    <definedName name="_xlnm.Print_Titles" localSheetId="7">OPH!$1:$4</definedName>
    <definedName name="_xlnm.Print_Titles" localSheetId="6">PSH!$1:$4</definedName>
    <definedName name="_xlnm.Print_Titles" localSheetId="8">RRH!$1:$4</definedName>
    <definedName name="_xlnm.Print_Titles" localSheetId="5">SH!$1:$4</definedName>
    <definedName name="_xlnm.Print_Titles" localSheetId="4">TH!$1:$4</definedName>
    <definedName name="_xlnm.Print_Titles" localSheetId="10">Vets!$1:$4</definedName>
    <definedName name="_xlnm.Print_Titles" localSheetId="11">Youth!$1:$4</definedName>
    <definedName name="show_heading_section">DO_NOT_EDIT!$B$7</definedName>
    <definedName name="Year">DO_NOT_EDIT!$B$3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53" l="1"/>
  <c r="B44" i="53"/>
  <c r="A2" i="48"/>
  <c r="A2" i="47"/>
  <c r="A2" i="46"/>
  <c r="A2" i="45"/>
  <c r="A2" i="44"/>
  <c r="A2" i="43"/>
  <c r="A2" i="13"/>
  <c r="B20" i="53"/>
  <c r="B21" i="53" s="1"/>
  <c r="B18" i="53"/>
  <c r="B19" i="53" s="1"/>
  <c r="B27" i="53"/>
  <c r="B28" i="53"/>
  <c r="B29" i="53"/>
  <c r="B30" i="53"/>
  <c r="B31" i="53"/>
  <c r="B32" i="53"/>
  <c r="B33" i="53"/>
  <c r="B34" i="53"/>
  <c r="B35" i="53"/>
  <c r="B36" i="53"/>
  <c r="B37" i="53"/>
  <c r="B38" i="53"/>
  <c r="B39" i="53"/>
  <c r="B40" i="53"/>
  <c r="B41" i="53"/>
  <c r="B42" i="53"/>
  <c r="B43" i="53"/>
  <c r="B46" i="53"/>
  <c r="B47" i="53"/>
  <c r="B48" i="53"/>
  <c r="B49" i="53"/>
  <c r="B50" i="53"/>
  <c r="B51" i="53"/>
  <c r="B52" i="53"/>
  <c r="B53" i="53"/>
  <c r="B54" i="53"/>
  <c r="B55" i="53"/>
  <c r="B56" i="53"/>
  <c r="B57" i="53"/>
  <c r="B58" i="53"/>
  <c r="B59" i="53"/>
  <c r="B60" i="53"/>
  <c r="B61" i="53"/>
  <c r="B62" i="53"/>
  <c r="B63" i="53"/>
  <c r="B64" i="53"/>
  <c r="B65" i="53"/>
  <c r="B66" i="53"/>
  <c r="B67" i="53"/>
  <c r="B68" i="53"/>
  <c r="B69" i="53"/>
  <c r="B70" i="53"/>
  <c r="B71" i="53"/>
  <c r="B72" i="53"/>
  <c r="B73" i="53"/>
  <c r="B74" i="53"/>
  <c r="B75" i="53"/>
  <c r="B76" i="53"/>
  <c r="B77" i="53"/>
  <c r="B78" i="53"/>
  <c r="B79" i="53"/>
  <c r="B80" i="53"/>
  <c r="B81" i="53"/>
  <c r="B82" i="53"/>
  <c r="B83" i="53"/>
  <c r="B84" i="53"/>
  <c r="B85" i="53"/>
  <c r="B86" i="53"/>
  <c r="B87" i="53"/>
  <c r="B88" i="53"/>
  <c r="B89" i="53"/>
  <c r="B90" i="53"/>
  <c r="B91" i="53"/>
  <c r="B92" i="53"/>
  <c r="B93" i="53"/>
  <c r="B94" i="53"/>
  <c r="B95" i="53"/>
  <c r="B96" i="53"/>
  <c r="B97" i="53"/>
  <c r="B98" i="53"/>
  <c r="B99" i="53"/>
  <c r="B100" i="53"/>
  <c r="B101" i="53"/>
  <c r="B102" i="53"/>
  <c r="B103" i="53"/>
  <c r="B104" i="53"/>
  <c r="B105" i="53"/>
  <c r="B106" i="53"/>
  <c r="B107" i="53"/>
  <c r="B108" i="53"/>
  <c r="B109" i="53"/>
  <c r="B110" i="53"/>
  <c r="B111" i="53"/>
  <c r="B112" i="53"/>
  <c r="B113" i="53"/>
  <c r="B114" i="53"/>
  <c r="B115" i="53"/>
  <c r="B116" i="53"/>
  <c r="B117" i="53"/>
  <c r="B118" i="53"/>
  <c r="B26" i="53"/>
  <c r="B25" i="53"/>
  <c r="B14" i="53"/>
  <c r="B15" i="53" s="1"/>
  <c r="B1" i="53"/>
  <c r="B4" i="53"/>
  <c r="B2" i="53"/>
  <c r="B3" i="53"/>
  <c r="B7" i="53" l="1"/>
  <c r="B16" i="53"/>
  <c r="B17" i="53" s="1"/>
  <c r="D47" i="51"/>
  <c r="D48" i="51"/>
  <c r="D49" i="51"/>
  <c r="D50" i="51"/>
  <c r="D51" i="51"/>
  <c r="D52" i="51"/>
  <c r="C47" i="51"/>
  <c r="C48" i="51"/>
  <c r="C49" i="51"/>
  <c r="C50" i="51"/>
  <c r="C51" i="51"/>
  <c r="C52" i="51"/>
  <c r="B47" i="51"/>
  <c r="B48" i="51"/>
  <c r="B49" i="51"/>
  <c r="B50" i="51"/>
  <c r="B51" i="51"/>
  <c r="B52" i="51"/>
  <c r="D38" i="51"/>
  <c r="D39" i="51"/>
  <c r="D40" i="51"/>
  <c r="D41" i="51"/>
  <c r="D42" i="51"/>
  <c r="D43" i="51"/>
  <c r="C38" i="51"/>
  <c r="C39" i="51"/>
  <c r="C40" i="51"/>
  <c r="C41" i="51"/>
  <c r="C42" i="51"/>
  <c r="C43" i="51"/>
  <c r="B38" i="51"/>
  <c r="B39" i="51"/>
  <c r="B40" i="51"/>
  <c r="B41" i="51"/>
  <c r="B42" i="51"/>
  <c r="B43" i="51"/>
  <c r="D27" i="51"/>
  <c r="D28" i="51"/>
  <c r="C27" i="51"/>
  <c r="C28" i="51"/>
  <c r="B27" i="51"/>
  <c r="B28" i="51"/>
  <c r="D21" i="51"/>
  <c r="D22" i="51"/>
  <c r="D23" i="51"/>
  <c r="C21" i="51"/>
  <c r="C22" i="51"/>
  <c r="C23" i="51"/>
  <c r="B21" i="51"/>
  <c r="B22" i="51"/>
  <c r="B23" i="51"/>
  <c r="D14" i="51"/>
  <c r="D15" i="51"/>
  <c r="D16" i="51"/>
  <c r="D7" i="51"/>
  <c r="D8" i="51"/>
  <c r="D9" i="51"/>
  <c r="C14" i="51"/>
  <c r="C15" i="51"/>
  <c r="C16" i="51"/>
  <c r="B14" i="51"/>
  <c r="B15" i="51"/>
  <c r="B16" i="51"/>
  <c r="C7" i="51"/>
  <c r="C8" i="51"/>
  <c r="C9" i="51"/>
  <c r="B7" i="51"/>
  <c r="B8" i="51"/>
  <c r="B9" i="51"/>
  <c r="C47" i="50"/>
  <c r="C48" i="50"/>
  <c r="C49" i="50"/>
  <c r="C50" i="50"/>
  <c r="C51" i="50"/>
  <c r="C52" i="50"/>
  <c r="B47" i="50"/>
  <c r="B48" i="50"/>
  <c r="B49" i="50"/>
  <c r="B50" i="50"/>
  <c r="B51" i="50"/>
  <c r="B52" i="50"/>
  <c r="C38" i="50"/>
  <c r="C39" i="50"/>
  <c r="C40" i="50"/>
  <c r="C41" i="50"/>
  <c r="C42" i="50"/>
  <c r="C43" i="50"/>
  <c r="B38" i="50"/>
  <c r="B39" i="50"/>
  <c r="B40" i="50"/>
  <c r="B41" i="50"/>
  <c r="B42" i="50"/>
  <c r="B43" i="50"/>
  <c r="C27" i="50"/>
  <c r="C28" i="50"/>
  <c r="B27" i="50"/>
  <c r="B28" i="50"/>
  <c r="C21" i="50"/>
  <c r="C22" i="50"/>
  <c r="C23" i="50"/>
  <c r="B21" i="50"/>
  <c r="B22" i="50"/>
  <c r="B23" i="50"/>
  <c r="C14" i="50"/>
  <c r="C15" i="50"/>
  <c r="C16" i="50"/>
  <c r="B14" i="50"/>
  <c r="B15" i="50"/>
  <c r="B16" i="50"/>
  <c r="C7" i="50"/>
  <c r="C8" i="50"/>
  <c r="C9" i="50"/>
  <c r="B7" i="50"/>
  <c r="B8" i="50"/>
  <c r="B9" i="50"/>
  <c r="D53" i="50"/>
  <c r="D44" i="50"/>
  <c r="D29" i="50"/>
  <c r="D24" i="50"/>
  <c r="D18" i="50"/>
  <c r="D17" i="50"/>
  <c r="D11" i="50"/>
  <c r="D10" i="50"/>
  <c r="D2" i="53" l="1"/>
  <c r="A3" i="50" s="1"/>
  <c r="D3" i="53"/>
  <c r="C29" i="51"/>
  <c r="B29" i="51"/>
  <c r="D24" i="51"/>
  <c r="C29" i="50"/>
  <c r="C44" i="51"/>
  <c r="B53" i="51"/>
  <c r="D53" i="51"/>
  <c r="C17" i="50"/>
  <c r="C18" i="50" s="1"/>
  <c r="D10" i="51"/>
  <c r="B44" i="51"/>
  <c r="C10" i="50"/>
  <c r="B24" i="50"/>
  <c r="B17" i="51"/>
  <c r="B18" i="51" s="1"/>
  <c r="C53" i="50"/>
  <c r="C53" i="51"/>
  <c r="C24" i="51"/>
  <c r="D29" i="51"/>
  <c r="D17" i="51"/>
  <c r="C24" i="50"/>
  <c r="C44" i="50"/>
  <c r="D44" i="51"/>
  <c r="C17" i="51"/>
  <c r="C18" i="51" s="1"/>
  <c r="B44" i="50"/>
  <c r="E48" i="51"/>
  <c r="E52" i="51"/>
  <c r="E51" i="51"/>
  <c r="E50" i="51"/>
  <c r="E49" i="51"/>
  <c r="E39" i="51"/>
  <c r="E43" i="51"/>
  <c r="E42" i="51"/>
  <c r="E41" i="51"/>
  <c r="E40" i="51"/>
  <c r="E28" i="51"/>
  <c r="E27" i="51"/>
  <c r="E23" i="51"/>
  <c r="E22" i="51"/>
  <c r="E21" i="51"/>
  <c r="D18" i="51"/>
  <c r="D11" i="51"/>
  <c r="E15" i="51"/>
  <c r="E16" i="51"/>
  <c r="E9" i="51"/>
  <c r="E8" i="51"/>
  <c r="C10" i="51"/>
  <c r="C11" i="51" s="1"/>
  <c r="E7" i="51"/>
  <c r="B10" i="51"/>
  <c r="B11" i="51" s="1"/>
  <c r="E47" i="51"/>
  <c r="E14" i="51"/>
  <c r="B24" i="51"/>
  <c r="E38" i="51"/>
  <c r="E52" i="50"/>
  <c r="E51" i="50"/>
  <c r="E50" i="50"/>
  <c r="E49" i="50"/>
  <c r="E48" i="50"/>
  <c r="E47" i="50"/>
  <c r="E43" i="50"/>
  <c r="E42" i="50"/>
  <c r="E41" i="50"/>
  <c r="E40" i="50"/>
  <c r="E39" i="50"/>
  <c r="E28" i="50"/>
  <c r="E27" i="50"/>
  <c r="B29" i="50"/>
  <c r="E23" i="50"/>
  <c r="E21" i="50"/>
  <c r="E16" i="50"/>
  <c r="E15" i="50"/>
  <c r="E14" i="50"/>
  <c r="E7" i="50"/>
  <c r="E8" i="50"/>
  <c r="B10" i="50"/>
  <c r="B11" i="50" s="1"/>
  <c r="E9" i="50"/>
  <c r="C11" i="50"/>
  <c r="E22" i="50"/>
  <c r="B53" i="50"/>
  <c r="B17" i="50"/>
  <c r="B18" i="50" s="1"/>
  <c r="E38" i="50"/>
  <c r="C47" i="49"/>
  <c r="C48" i="49"/>
  <c r="C49" i="49"/>
  <c r="C50" i="49"/>
  <c r="C51" i="49"/>
  <c r="C52" i="49"/>
  <c r="B47" i="49"/>
  <c r="B48" i="49"/>
  <c r="B49" i="49"/>
  <c r="B50" i="49"/>
  <c r="B51" i="49"/>
  <c r="B52" i="49"/>
  <c r="C38" i="49"/>
  <c r="C39" i="49"/>
  <c r="C40" i="49"/>
  <c r="C41" i="49"/>
  <c r="C42" i="49"/>
  <c r="C43" i="49"/>
  <c r="B38" i="49"/>
  <c r="B39" i="49"/>
  <c r="B40" i="49"/>
  <c r="B41" i="49"/>
  <c r="B42" i="49"/>
  <c r="B43" i="49"/>
  <c r="C27" i="49"/>
  <c r="C28" i="49"/>
  <c r="B27" i="49"/>
  <c r="B28" i="49"/>
  <c r="C21" i="49"/>
  <c r="C22" i="49"/>
  <c r="C23" i="49"/>
  <c r="B21" i="49"/>
  <c r="B22" i="49"/>
  <c r="B23" i="49"/>
  <c r="C14" i="49"/>
  <c r="C15" i="49"/>
  <c r="C16" i="49"/>
  <c r="B14" i="49"/>
  <c r="B15" i="49"/>
  <c r="B16" i="49"/>
  <c r="C7" i="49"/>
  <c r="C8" i="49"/>
  <c r="C9" i="49"/>
  <c r="B7" i="49"/>
  <c r="B8" i="49"/>
  <c r="B9" i="49"/>
  <c r="D53" i="49"/>
  <c r="D44" i="49"/>
  <c r="D29" i="49"/>
  <c r="D24" i="49"/>
  <c r="D17" i="49"/>
  <c r="D52" i="48"/>
  <c r="C52" i="48"/>
  <c r="B52" i="48"/>
  <c r="D51" i="48"/>
  <c r="C51" i="48"/>
  <c r="B51" i="48"/>
  <c r="D50" i="48"/>
  <c r="C50" i="48"/>
  <c r="B50" i="48"/>
  <c r="D49" i="48"/>
  <c r="C49" i="48"/>
  <c r="B49" i="48"/>
  <c r="D48" i="48"/>
  <c r="C48" i="48"/>
  <c r="B48" i="48"/>
  <c r="D47" i="48"/>
  <c r="C47" i="48"/>
  <c r="B47" i="48"/>
  <c r="D43" i="48"/>
  <c r="C43" i="48"/>
  <c r="B43" i="48"/>
  <c r="D42" i="48"/>
  <c r="C42" i="48"/>
  <c r="B42" i="48"/>
  <c r="D41" i="48"/>
  <c r="C41" i="48"/>
  <c r="B41" i="48"/>
  <c r="D40" i="48"/>
  <c r="C40" i="48"/>
  <c r="B40" i="48"/>
  <c r="D39" i="48"/>
  <c r="C39" i="48"/>
  <c r="B39" i="48"/>
  <c r="D38" i="48"/>
  <c r="C38" i="48"/>
  <c r="B38" i="48"/>
  <c r="D28" i="48"/>
  <c r="C28" i="48"/>
  <c r="B28" i="48"/>
  <c r="D27" i="48"/>
  <c r="C27" i="48"/>
  <c r="B27" i="48"/>
  <c r="D23" i="48"/>
  <c r="C23" i="48"/>
  <c r="B23" i="48"/>
  <c r="D22" i="48"/>
  <c r="C22" i="48"/>
  <c r="B22" i="48"/>
  <c r="D21" i="48"/>
  <c r="C21" i="48"/>
  <c r="B21" i="48"/>
  <c r="D16" i="48"/>
  <c r="C16" i="48"/>
  <c r="B16" i="48"/>
  <c r="D15" i="48"/>
  <c r="C15" i="48"/>
  <c r="B15" i="48"/>
  <c r="D14" i="48"/>
  <c r="C14" i="48"/>
  <c r="B14" i="48"/>
  <c r="D9" i="48"/>
  <c r="C9" i="48"/>
  <c r="B9" i="48"/>
  <c r="D8" i="48"/>
  <c r="C8" i="48"/>
  <c r="B8" i="48"/>
  <c r="D7" i="48"/>
  <c r="C7" i="48"/>
  <c r="B7" i="48"/>
  <c r="D52" i="47"/>
  <c r="C52" i="47"/>
  <c r="B52" i="47"/>
  <c r="D51" i="47"/>
  <c r="C51" i="47"/>
  <c r="B51" i="47"/>
  <c r="D50" i="47"/>
  <c r="C50" i="47"/>
  <c r="B50" i="47"/>
  <c r="D49" i="47"/>
  <c r="C49" i="47"/>
  <c r="B49" i="47"/>
  <c r="D48" i="47"/>
  <c r="C48" i="47"/>
  <c r="B48" i="47"/>
  <c r="D47" i="47"/>
  <c r="C47" i="47"/>
  <c r="B47" i="47"/>
  <c r="D43" i="47"/>
  <c r="C43" i="47"/>
  <c r="B43" i="47"/>
  <c r="D42" i="47"/>
  <c r="C42" i="47"/>
  <c r="B42" i="47"/>
  <c r="D41" i="47"/>
  <c r="C41" i="47"/>
  <c r="B41" i="47"/>
  <c r="D40" i="47"/>
  <c r="C40" i="47"/>
  <c r="B40" i="47"/>
  <c r="D39" i="47"/>
  <c r="C39" i="47"/>
  <c r="B39" i="47"/>
  <c r="D38" i="47"/>
  <c r="C38" i="47"/>
  <c r="B38" i="47"/>
  <c r="D28" i="47"/>
  <c r="C28" i="47"/>
  <c r="B28" i="47"/>
  <c r="D27" i="47"/>
  <c r="C27" i="47"/>
  <c r="B27" i="47"/>
  <c r="D23" i="47"/>
  <c r="C23" i="47"/>
  <c r="B23" i="47"/>
  <c r="D22" i="47"/>
  <c r="C22" i="47"/>
  <c r="B22" i="47"/>
  <c r="D21" i="47"/>
  <c r="C21" i="47"/>
  <c r="B21" i="47"/>
  <c r="D16" i="47"/>
  <c r="C16" i="47"/>
  <c r="B16" i="47"/>
  <c r="D15" i="47"/>
  <c r="C15" i="47"/>
  <c r="B15" i="47"/>
  <c r="D14" i="47"/>
  <c r="D18" i="47" s="1"/>
  <c r="C14" i="47"/>
  <c r="B14" i="47"/>
  <c r="D9" i="47"/>
  <c r="C9" i="47"/>
  <c r="B9" i="47"/>
  <c r="D8" i="47"/>
  <c r="C8" i="47"/>
  <c r="B8" i="47"/>
  <c r="D7" i="47"/>
  <c r="C7" i="47"/>
  <c r="B7" i="47"/>
  <c r="B7" i="46"/>
  <c r="B8" i="46"/>
  <c r="B9" i="46"/>
  <c r="D52" i="46"/>
  <c r="C52" i="46"/>
  <c r="B52" i="46"/>
  <c r="D51" i="46"/>
  <c r="C51" i="46"/>
  <c r="B51" i="46"/>
  <c r="D50" i="46"/>
  <c r="C50" i="46"/>
  <c r="B50" i="46"/>
  <c r="D49" i="46"/>
  <c r="C49" i="46"/>
  <c r="B49" i="46"/>
  <c r="D48" i="46"/>
  <c r="C48" i="46"/>
  <c r="B48" i="46"/>
  <c r="D47" i="46"/>
  <c r="C47" i="46"/>
  <c r="B47" i="46"/>
  <c r="D43" i="46"/>
  <c r="C43" i="46"/>
  <c r="B43" i="46"/>
  <c r="D42" i="46"/>
  <c r="C42" i="46"/>
  <c r="B42" i="46"/>
  <c r="D41" i="46"/>
  <c r="C41" i="46"/>
  <c r="B41" i="46"/>
  <c r="D40" i="46"/>
  <c r="C40" i="46"/>
  <c r="B40" i="46"/>
  <c r="D39" i="46"/>
  <c r="C39" i="46"/>
  <c r="B39" i="46"/>
  <c r="D38" i="46"/>
  <c r="C38" i="46"/>
  <c r="B38" i="46"/>
  <c r="D28" i="46"/>
  <c r="C28" i="46"/>
  <c r="B28" i="46"/>
  <c r="D27" i="46"/>
  <c r="C27" i="46"/>
  <c r="B27" i="46"/>
  <c r="D23" i="46"/>
  <c r="C23" i="46"/>
  <c r="B23" i="46"/>
  <c r="D22" i="46"/>
  <c r="C22" i="46"/>
  <c r="B22" i="46"/>
  <c r="D21" i="46"/>
  <c r="C21" i="46"/>
  <c r="B21" i="46"/>
  <c r="D16" i="46"/>
  <c r="C16" i="46"/>
  <c r="B16" i="46"/>
  <c r="D15" i="46"/>
  <c r="C15" i="46"/>
  <c r="B15" i="46"/>
  <c r="D14" i="46"/>
  <c r="C14" i="46"/>
  <c r="B14" i="46"/>
  <c r="D9" i="46"/>
  <c r="C9" i="46"/>
  <c r="D8" i="46"/>
  <c r="C8" i="46"/>
  <c r="D7" i="46"/>
  <c r="C7" i="46"/>
  <c r="D52" i="45"/>
  <c r="C52" i="45"/>
  <c r="B52" i="45"/>
  <c r="D51" i="45"/>
  <c r="C51" i="45"/>
  <c r="B51" i="45"/>
  <c r="D50" i="45"/>
  <c r="C50" i="45"/>
  <c r="B50" i="45"/>
  <c r="D49" i="45"/>
  <c r="C49" i="45"/>
  <c r="B49" i="45"/>
  <c r="D48" i="45"/>
  <c r="C48" i="45"/>
  <c r="B48" i="45"/>
  <c r="D47" i="45"/>
  <c r="C47" i="45"/>
  <c r="B47" i="45"/>
  <c r="D43" i="45"/>
  <c r="C43" i="45"/>
  <c r="B43" i="45"/>
  <c r="D42" i="45"/>
  <c r="C42" i="45"/>
  <c r="B42" i="45"/>
  <c r="D41" i="45"/>
  <c r="C41" i="45"/>
  <c r="B41" i="45"/>
  <c r="D40" i="45"/>
  <c r="C40" i="45"/>
  <c r="B40" i="45"/>
  <c r="D39" i="45"/>
  <c r="C39" i="45"/>
  <c r="B39" i="45"/>
  <c r="D38" i="45"/>
  <c r="C38" i="45"/>
  <c r="B38" i="45"/>
  <c r="D28" i="45"/>
  <c r="C28" i="45"/>
  <c r="B28" i="45"/>
  <c r="D27" i="45"/>
  <c r="C27" i="45"/>
  <c r="B27" i="45"/>
  <c r="D23" i="45"/>
  <c r="C23" i="45"/>
  <c r="B23" i="45"/>
  <c r="D22" i="45"/>
  <c r="C22" i="45"/>
  <c r="B22" i="45"/>
  <c r="D21" i="45"/>
  <c r="C21" i="45"/>
  <c r="B21" i="45"/>
  <c r="D16" i="45"/>
  <c r="C16" i="45"/>
  <c r="B16" i="45"/>
  <c r="D15" i="45"/>
  <c r="C15" i="45"/>
  <c r="B15" i="45"/>
  <c r="D14" i="45"/>
  <c r="D18" i="45" s="1"/>
  <c r="C14" i="45"/>
  <c r="B14" i="45"/>
  <c r="D9" i="45"/>
  <c r="C9" i="45"/>
  <c r="B9" i="45"/>
  <c r="D8" i="45"/>
  <c r="C8" i="45"/>
  <c r="B8" i="45"/>
  <c r="D7" i="45"/>
  <c r="D11" i="45" s="1"/>
  <c r="C7" i="45"/>
  <c r="B7" i="45"/>
  <c r="D52" i="44"/>
  <c r="C52" i="44"/>
  <c r="B52" i="44"/>
  <c r="D51" i="44"/>
  <c r="C51" i="44"/>
  <c r="B51" i="44"/>
  <c r="D50" i="44"/>
  <c r="C50" i="44"/>
  <c r="B50" i="44"/>
  <c r="D49" i="44"/>
  <c r="C49" i="44"/>
  <c r="B49" i="44"/>
  <c r="D48" i="44"/>
  <c r="C48" i="44"/>
  <c r="B48" i="44"/>
  <c r="D47" i="44"/>
  <c r="C47" i="44"/>
  <c r="B47" i="44"/>
  <c r="D43" i="44"/>
  <c r="C43" i="44"/>
  <c r="B43" i="44"/>
  <c r="D42" i="44"/>
  <c r="C42" i="44"/>
  <c r="B42" i="44"/>
  <c r="D41" i="44"/>
  <c r="C41" i="44"/>
  <c r="B41" i="44"/>
  <c r="D40" i="44"/>
  <c r="C40" i="44"/>
  <c r="B40" i="44"/>
  <c r="D39" i="44"/>
  <c r="C39" i="44"/>
  <c r="B39" i="44"/>
  <c r="D38" i="44"/>
  <c r="C38" i="44"/>
  <c r="B38" i="44"/>
  <c r="D28" i="44"/>
  <c r="C28" i="44"/>
  <c r="B28" i="44"/>
  <c r="D27" i="44"/>
  <c r="C27" i="44"/>
  <c r="B27" i="44"/>
  <c r="D23" i="44"/>
  <c r="C23" i="44"/>
  <c r="B23" i="44"/>
  <c r="D22" i="44"/>
  <c r="C22" i="44"/>
  <c r="B22" i="44"/>
  <c r="D21" i="44"/>
  <c r="C21" i="44"/>
  <c r="B21" i="44"/>
  <c r="D16" i="44"/>
  <c r="C16" i="44"/>
  <c r="B16" i="44"/>
  <c r="D15" i="44"/>
  <c r="C15" i="44"/>
  <c r="B15" i="44"/>
  <c r="D14" i="44"/>
  <c r="C14" i="44"/>
  <c r="B14" i="44"/>
  <c r="D9" i="44"/>
  <c r="C9" i="44"/>
  <c r="B9" i="44"/>
  <c r="D8" i="44"/>
  <c r="C8" i="44"/>
  <c r="B8" i="44"/>
  <c r="D7" i="44"/>
  <c r="C7" i="44"/>
  <c r="B7" i="44"/>
  <c r="D52" i="43"/>
  <c r="C52" i="43"/>
  <c r="B52" i="43"/>
  <c r="D51" i="43"/>
  <c r="C51" i="43"/>
  <c r="B51" i="43"/>
  <c r="D50" i="43"/>
  <c r="C50" i="43"/>
  <c r="B50" i="43"/>
  <c r="D49" i="43"/>
  <c r="C49" i="43"/>
  <c r="B49" i="43"/>
  <c r="D48" i="43"/>
  <c r="C48" i="43"/>
  <c r="B48" i="43"/>
  <c r="D47" i="43"/>
  <c r="C47" i="43"/>
  <c r="B47" i="43"/>
  <c r="D43" i="43"/>
  <c r="C43" i="43"/>
  <c r="B43" i="43"/>
  <c r="D42" i="43"/>
  <c r="C42" i="43"/>
  <c r="B42" i="43"/>
  <c r="D41" i="43"/>
  <c r="C41" i="43"/>
  <c r="B41" i="43"/>
  <c r="D40" i="43"/>
  <c r="C40" i="43"/>
  <c r="B40" i="43"/>
  <c r="D39" i="43"/>
  <c r="C39" i="43"/>
  <c r="B39" i="43"/>
  <c r="D38" i="43"/>
  <c r="C38" i="43"/>
  <c r="B38" i="43"/>
  <c r="C34" i="43"/>
  <c r="B34" i="43"/>
  <c r="C33" i="43"/>
  <c r="B33" i="43"/>
  <c r="C32" i="43"/>
  <c r="B32" i="43"/>
  <c r="D28" i="43"/>
  <c r="C28" i="43"/>
  <c r="B28" i="43"/>
  <c r="D27" i="43"/>
  <c r="C27" i="43"/>
  <c r="B27" i="43"/>
  <c r="D23" i="43"/>
  <c r="C23" i="43"/>
  <c r="B23" i="43"/>
  <c r="D22" i="43"/>
  <c r="C22" i="43"/>
  <c r="B22" i="43"/>
  <c r="D21" i="43"/>
  <c r="C21" i="43"/>
  <c r="B21" i="43"/>
  <c r="D16" i="43"/>
  <c r="C16" i="43"/>
  <c r="B16" i="43"/>
  <c r="D15" i="43"/>
  <c r="C15" i="43"/>
  <c r="B15" i="43"/>
  <c r="D14" i="43"/>
  <c r="C14" i="43"/>
  <c r="B14" i="43"/>
  <c r="D9" i="43"/>
  <c r="C9" i="43"/>
  <c r="B9" i="43"/>
  <c r="D8" i="43"/>
  <c r="C8" i="43"/>
  <c r="B8" i="43"/>
  <c r="D7" i="43"/>
  <c r="C7" i="43"/>
  <c r="B7" i="43"/>
  <c r="E29" i="51" l="1"/>
  <c r="A3" i="49"/>
  <c r="A3" i="48"/>
  <c r="A3" i="51"/>
  <c r="A3" i="46"/>
  <c r="A3" i="47"/>
  <c r="A3" i="44"/>
  <c r="A3" i="45"/>
  <c r="A3" i="13"/>
  <c r="A3" i="43"/>
  <c r="A2" i="55"/>
  <c r="E52" i="49"/>
  <c r="E17" i="50"/>
  <c r="E18" i="50" s="1"/>
  <c r="C17" i="49"/>
  <c r="C18" i="49" s="1"/>
  <c r="E49" i="49"/>
  <c r="E50" i="49"/>
  <c r="E29" i="50"/>
  <c r="C24" i="47"/>
  <c r="C35" i="43"/>
  <c r="E27" i="43"/>
  <c r="E42" i="43"/>
  <c r="D29" i="46"/>
  <c r="D10" i="44"/>
  <c r="D11" i="44" s="1"/>
  <c r="D29" i="44"/>
  <c r="C29" i="47"/>
  <c r="E48" i="47"/>
  <c r="C53" i="49"/>
  <c r="B10" i="43"/>
  <c r="B11" i="43" s="1"/>
  <c r="E7" i="48"/>
  <c r="E23" i="48"/>
  <c r="E10" i="50"/>
  <c r="E11" i="50" s="1"/>
  <c r="B17" i="43"/>
  <c r="B18" i="43" s="1"/>
  <c r="D29" i="43"/>
  <c r="E22" i="47"/>
  <c r="D17" i="43"/>
  <c r="E22" i="43"/>
  <c r="E51" i="43"/>
  <c r="E38" i="47"/>
  <c r="E21" i="48"/>
  <c r="E39" i="48"/>
  <c r="E50" i="48"/>
  <c r="C24" i="43"/>
  <c r="E10" i="51"/>
  <c r="E11" i="51" s="1"/>
  <c r="E24" i="51"/>
  <c r="B44" i="49"/>
  <c r="E51" i="44"/>
  <c r="E52" i="45"/>
  <c r="E28" i="46"/>
  <c r="E43" i="46"/>
  <c r="B24" i="49"/>
  <c r="C44" i="49"/>
  <c r="E48" i="49"/>
  <c r="E53" i="51"/>
  <c r="C53" i="48"/>
  <c r="E42" i="49"/>
  <c r="E47" i="49"/>
  <c r="E52" i="46"/>
  <c r="E7" i="47"/>
  <c r="E23" i="47"/>
  <c r="E52" i="47"/>
  <c r="D17" i="48"/>
  <c r="D18" i="48" s="1"/>
  <c r="E27" i="48"/>
  <c r="E42" i="48"/>
  <c r="D44" i="47"/>
  <c r="E47" i="47"/>
  <c r="C10" i="48"/>
  <c r="C11" i="48" s="1"/>
  <c r="E15" i="48"/>
  <c r="C29" i="48"/>
  <c r="E48" i="48"/>
  <c r="C24" i="49"/>
  <c r="E51" i="49"/>
  <c r="E47" i="44"/>
  <c r="D24" i="45"/>
  <c r="C29" i="45"/>
  <c r="E21" i="47"/>
  <c r="C53" i="47"/>
  <c r="E51" i="48"/>
  <c r="B10" i="46"/>
  <c r="B11" i="46" s="1"/>
  <c r="C44" i="48"/>
  <c r="C10" i="49"/>
  <c r="C11" i="49" s="1"/>
  <c r="C29" i="49"/>
  <c r="E44" i="50"/>
  <c r="E53" i="50"/>
  <c r="E44" i="51"/>
  <c r="E17" i="51"/>
  <c r="E18" i="51" s="1"/>
  <c r="E24" i="50"/>
  <c r="E41" i="48"/>
  <c r="E52" i="48"/>
  <c r="B17" i="48"/>
  <c r="B18" i="48" s="1"/>
  <c r="D44" i="48"/>
  <c r="E47" i="48"/>
  <c r="D53" i="48"/>
  <c r="B10" i="48"/>
  <c r="B11" i="48" s="1"/>
  <c r="C17" i="48"/>
  <c r="C18" i="48" s="1"/>
  <c r="D10" i="48"/>
  <c r="D11" i="48" s="1"/>
  <c r="B24" i="48"/>
  <c r="D29" i="48"/>
  <c r="E40" i="48"/>
  <c r="E9" i="48"/>
  <c r="C24" i="48"/>
  <c r="E28" i="48"/>
  <c r="E43" i="48"/>
  <c r="E16" i="48"/>
  <c r="D24" i="48"/>
  <c r="E38" i="48"/>
  <c r="E49" i="48"/>
  <c r="E40" i="49"/>
  <c r="E39" i="49"/>
  <c r="E43" i="49"/>
  <c r="E41" i="49"/>
  <c r="E28" i="49"/>
  <c r="E27" i="49"/>
  <c r="E23" i="49"/>
  <c r="E21" i="49"/>
  <c r="E16" i="49"/>
  <c r="E15" i="49"/>
  <c r="E9" i="49"/>
  <c r="E8" i="49"/>
  <c r="E7" i="49"/>
  <c r="D10" i="49"/>
  <c r="D11" i="49" s="1"/>
  <c r="D18" i="49"/>
  <c r="B10" i="49"/>
  <c r="B11" i="49" s="1"/>
  <c r="E14" i="49"/>
  <c r="E22" i="49"/>
  <c r="E38" i="49"/>
  <c r="B17" i="49"/>
  <c r="B18" i="49" s="1"/>
  <c r="B29" i="49"/>
  <c r="B53" i="49"/>
  <c r="B44" i="48"/>
  <c r="E8" i="48"/>
  <c r="E14" i="48"/>
  <c r="E22" i="48"/>
  <c r="B53" i="48"/>
  <c r="B29" i="48"/>
  <c r="E8" i="47"/>
  <c r="E15" i="47"/>
  <c r="D24" i="47"/>
  <c r="E42" i="47"/>
  <c r="D53" i="47"/>
  <c r="E9" i="47"/>
  <c r="D17" i="47"/>
  <c r="E28" i="47"/>
  <c r="E40" i="47"/>
  <c r="E51" i="47"/>
  <c r="D29" i="47"/>
  <c r="E16" i="47"/>
  <c r="E43" i="47"/>
  <c r="E49" i="47"/>
  <c r="B17" i="47"/>
  <c r="B18" i="47" s="1"/>
  <c r="C44" i="47"/>
  <c r="E41" i="47"/>
  <c r="C17" i="47"/>
  <c r="E27" i="47"/>
  <c r="E39" i="47"/>
  <c r="E50" i="47"/>
  <c r="B10" i="47"/>
  <c r="B11" i="47" s="1"/>
  <c r="B24" i="47"/>
  <c r="B44" i="47"/>
  <c r="C10" i="47"/>
  <c r="C11" i="47" s="1"/>
  <c r="C18" i="47"/>
  <c r="D10" i="47"/>
  <c r="D11" i="47" s="1"/>
  <c r="E14" i="47"/>
  <c r="B29" i="47"/>
  <c r="B53" i="47"/>
  <c r="E48" i="43"/>
  <c r="C17" i="45"/>
  <c r="E52" i="44"/>
  <c r="E8" i="45"/>
  <c r="E27" i="45"/>
  <c r="E42" i="45"/>
  <c r="D53" i="45"/>
  <c r="B17" i="46"/>
  <c r="B18" i="46" s="1"/>
  <c r="D53" i="43"/>
  <c r="D44" i="44"/>
  <c r="C10" i="45"/>
  <c r="E15" i="45"/>
  <c r="D10" i="43"/>
  <c r="D11" i="43" s="1"/>
  <c r="D24" i="43"/>
  <c r="E49" i="43"/>
  <c r="D29" i="45"/>
  <c r="E40" i="45"/>
  <c r="E51" i="45"/>
  <c r="D17" i="46"/>
  <c r="D18" i="46" s="1"/>
  <c r="E27" i="46"/>
  <c r="E42" i="46"/>
  <c r="D53" i="46"/>
  <c r="E9" i="46"/>
  <c r="E52" i="43"/>
  <c r="B10" i="44"/>
  <c r="B11" i="44" s="1"/>
  <c r="E27" i="44"/>
  <c r="E42" i="44"/>
  <c r="D53" i="44"/>
  <c r="D24" i="46"/>
  <c r="C29" i="46"/>
  <c r="D44" i="43"/>
  <c r="E15" i="44"/>
  <c r="C29" i="44"/>
  <c r="E48" i="44"/>
  <c r="E16" i="45"/>
  <c r="E49" i="45"/>
  <c r="C10" i="46"/>
  <c r="C11" i="46" s="1"/>
  <c r="B24" i="46"/>
  <c r="E40" i="46"/>
  <c r="E51" i="46"/>
  <c r="E15" i="46"/>
  <c r="E48" i="46"/>
  <c r="C24" i="46"/>
  <c r="E16" i="46"/>
  <c r="B44" i="46"/>
  <c r="E49" i="46"/>
  <c r="E7" i="46"/>
  <c r="E23" i="46"/>
  <c r="C44" i="46"/>
  <c r="E41" i="46"/>
  <c r="D44" i="46"/>
  <c r="E47" i="46"/>
  <c r="C17" i="46"/>
  <c r="C18" i="46" s="1"/>
  <c r="E21" i="46"/>
  <c r="E39" i="46"/>
  <c r="C53" i="46"/>
  <c r="E50" i="46"/>
  <c r="D10" i="46"/>
  <c r="D11" i="46" s="1"/>
  <c r="E8" i="46"/>
  <c r="E14" i="46"/>
  <c r="E22" i="46"/>
  <c r="E38" i="46"/>
  <c r="B53" i="46"/>
  <c r="B29" i="46"/>
  <c r="E48" i="45"/>
  <c r="B24" i="45"/>
  <c r="E9" i="45"/>
  <c r="D17" i="45"/>
  <c r="C24" i="45"/>
  <c r="E28" i="45"/>
  <c r="E43" i="45"/>
  <c r="B44" i="45"/>
  <c r="E7" i="45"/>
  <c r="E11" i="45" s="1"/>
  <c r="E23" i="45"/>
  <c r="C44" i="45"/>
  <c r="E41" i="45"/>
  <c r="D44" i="45"/>
  <c r="E47" i="45"/>
  <c r="E21" i="45"/>
  <c r="E39" i="45"/>
  <c r="C53" i="45"/>
  <c r="E50" i="45"/>
  <c r="C11" i="45"/>
  <c r="B10" i="45"/>
  <c r="B11" i="45" s="1"/>
  <c r="C18" i="45"/>
  <c r="D10" i="45"/>
  <c r="E14" i="45"/>
  <c r="E22" i="45"/>
  <c r="E38" i="45"/>
  <c r="B53" i="45"/>
  <c r="B17" i="45"/>
  <c r="B18" i="45" s="1"/>
  <c r="B29" i="45"/>
  <c r="E22" i="44"/>
  <c r="E40" i="44"/>
  <c r="C10" i="44"/>
  <c r="C11" i="44" s="1"/>
  <c r="E9" i="44"/>
  <c r="C24" i="44"/>
  <c r="E28" i="44"/>
  <c r="E43" i="44"/>
  <c r="E16" i="44"/>
  <c r="D24" i="44"/>
  <c r="E38" i="44"/>
  <c r="E49" i="44"/>
  <c r="D17" i="44"/>
  <c r="D18" i="44" s="1"/>
  <c r="E7" i="44"/>
  <c r="E23" i="44"/>
  <c r="C44" i="44"/>
  <c r="E41" i="44"/>
  <c r="E21" i="44"/>
  <c r="E39" i="44"/>
  <c r="C53" i="44"/>
  <c r="E50" i="44"/>
  <c r="B24" i="44"/>
  <c r="B44" i="44"/>
  <c r="E8" i="44"/>
  <c r="E14" i="44"/>
  <c r="B17" i="44"/>
  <c r="B18" i="44" s="1"/>
  <c r="B29" i="44"/>
  <c r="B53" i="44"/>
  <c r="C17" i="44"/>
  <c r="C18" i="44" s="1"/>
  <c r="C10" i="43"/>
  <c r="C11" i="43" s="1"/>
  <c r="E15" i="43"/>
  <c r="C29" i="43"/>
  <c r="E40" i="43"/>
  <c r="E9" i="43"/>
  <c r="E28" i="43"/>
  <c r="E43" i="43"/>
  <c r="E16" i="43"/>
  <c r="E38" i="43"/>
  <c r="E7" i="43"/>
  <c r="E23" i="43"/>
  <c r="C44" i="43"/>
  <c r="E41" i="43"/>
  <c r="B35" i="43"/>
  <c r="E47" i="43"/>
  <c r="C17" i="43"/>
  <c r="C18" i="43" s="1"/>
  <c r="E21" i="43"/>
  <c r="E39" i="43"/>
  <c r="C53" i="43"/>
  <c r="E50" i="43"/>
  <c r="B24" i="43"/>
  <c r="B44" i="43"/>
  <c r="D18" i="43"/>
  <c r="E8" i="43"/>
  <c r="E14" i="43"/>
  <c r="B29" i="43"/>
  <c r="B53" i="43"/>
  <c r="E29" i="46" l="1"/>
  <c r="A4" i="49"/>
  <c r="A4" i="50"/>
  <c r="A4" i="48"/>
  <c r="A4" i="51"/>
  <c r="A4" i="46"/>
  <c r="A4" i="47"/>
  <c r="A4" i="44"/>
  <c r="A4" i="45"/>
  <c r="A4" i="13"/>
  <c r="A4" i="43"/>
  <c r="A3" i="55"/>
  <c r="E24" i="48"/>
  <c r="E29" i="48"/>
  <c r="E29" i="49"/>
  <c r="E29" i="43"/>
  <c r="E29" i="44"/>
  <c r="E53" i="44"/>
  <c r="E44" i="47"/>
  <c r="E10" i="48"/>
  <c r="E11" i="48" s="1"/>
  <c r="E53" i="46"/>
  <c r="E24" i="47"/>
  <c r="E53" i="43"/>
  <c r="E53" i="47"/>
  <c r="E24" i="49"/>
  <c r="E10" i="47"/>
  <c r="E11" i="47" s="1"/>
  <c r="E53" i="49"/>
  <c r="E10" i="43"/>
  <c r="E11" i="43" s="1"/>
  <c r="E24" i="45"/>
  <c r="E24" i="43"/>
  <c r="E53" i="45"/>
  <c r="E29" i="45"/>
  <c r="E53" i="48"/>
  <c r="E44" i="48"/>
  <c r="E44" i="43"/>
  <c r="E10" i="49"/>
  <c r="E11" i="49" s="1"/>
  <c r="E44" i="49"/>
  <c r="E17" i="49"/>
  <c r="E18" i="49" s="1"/>
  <c r="E17" i="48"/>
  <c r="E18" i="48" s="1"/>
  <c r="E29" i="47"/>
  <c r="E17" i="47"/>
  <c r="E18" i="47" s="1"/>
  <c r="E44" i="45"/>
  <c r="E44" i="46"/>
  <c r="E24" i="46"/>
  <c r="E24" i="44"/>
  <c r="E44" i="44"/>
  <c r="E10" i="46"/>
  <c r="E11" i="46" s="1"/>
  <c r="E17" i="46"/>
  <c r="E18" i="46" s="1"/>
  <c r="E10" i="45"/>
  <c r="E17" i="45"/>
  <c r="E18" i="45"/>
  <c r="E10" i="44"/>
  <c r="E11" i="44" s="1"/>
  <c r="E17" i="44"/>
  <c r="E18" i="44" s="1"/>
  <c r="E17" i="43"/>
  <c r="E18" i="43" s="1"/>
  <c r="C32" i="13" l="1"/>
  <c r="C33" i="13"/>
  <c r="C34" i="13"/>
  <c r="C35" i="13" l="1"/>
  <c r="B32" i="13" l="1"/>
  <c r="B33" i="13"/>
  <c r="B34" i="13"/>
  <c r="D47" i="13"/>
  <c r="D48" i="13"/>
  <c r="D49" i="13"/>
  <c r="D50" i="13"/>
  <c r="D51" i="13"/>
  <c r="D52" i="13"/>
  <c r="C47" i="13"/>
  <c r="C48" i="13"/>
  <c r="C49" i="13"/>
  <c r="C50" i="13"/>
  <c r="C51" i="13"/>
  <c r="C52" i="13"/>
  <c r="B47" i="13"/>
  <c r="B48" i="13"/>
  <c r="B49" i="13"/>
  <c r="B50" i="13"/>
  <c r="B51" i="13"/>
  <c r="B52" i="13"/>
  <c r="D38" i="13"/>
  <c r="D39" i="13"/>
  <c r="D40" i="13"/>
  <c r="D41" i="13"/>
  <c r="D42" i="13"/>
  <c r="D43" i="13"/>
  <c r="C38" i="13"/>
  <c r="C39" i="13"/>
  <c r="C40" i="13"/>
  <c r="C41" i="13"/>
  <c r="C42" i="13"/>
  <c r="C43" i="13"/>
  <c r="B38" i="13"/>
  <c r="B39" i="13"/>
  <c r="B40" i="13"/>
  <c r="B41" i="13"/>
  <c r="B42" i="13"/>
  <c r="B43" i="13"/>
  <c r="D27" i="13"/>
  <c r="D28" i="13"/>
  <c r="C27" i="13"/>
  <c r="C28" i="13"/>
  <c r="B27" i="13"/>
  <c r="B28" i="13"/>
  <c r="D21" i="13"/>
  <c r="D22" i="13"/>
  <c r="D23" i="13"/>
  <c r="C21" i="13"/>
  <c r="C22" i="13"/>
  <c r="C23" i="13"/>
  <c r="B21" i="13"/>
  <c r="B22" i="13"/>
  <c r="B23" i="13"/>
  <c r="D14" i="13"/>
  <c r="D15" i="13"/>
  <c r="D16" i="13"/>
  <c r="C14" i="13"/>
  <c r="C15" i="13"/>
  <c r="C16" i="13"/>
  <c r="B14" i="13"/>
  <c r="B15" i="13"/>
  <c r="B16" i="13"/>
  <c r="D7" i="13"/>
  <c r="D8" i="13"/>
  <c r="D9" i="13"/>
  <c r="C7" i="13"/>
  <c r="C8" i="13"/>
  <c r="C9" i="13"/>
  <c r="B7" i="13"/>
  <c r="B8" i="13"/>
  <c r="B9" i="13"/>
  <c r="B35" i="13" l="1"/>
  <c r="D53" i="13"/>
  <c r="C53" i="13"/>
  <c r="B53" i="13"/>
  <c r="E43" i="13"/>
  <c r="E41" i="13"/>
  <c r="E38" i="13"/>
  <c r="E22" i="13"/>
  <c r="E23" i="13"/>
  <c r="E21" i="13"/>
  <c r="E42" i="13"/>
  <c r="E28" i="13"/>
  <c r="E40" i="13"/>
  <c r="E39" i="13"/>
  <c r="E27" i="13"/>
  <c r="B24" i="13"/>
  <c r="E16" i="13"/>
  <c r="E9" i="13"/>
  <c r="E15" i="13"/>
  <c r="E14" i="13"/>
  <c r="E8" i="13"/>
  <c r="B10" i="13"/>
  <c r="B11" i="13" s="1"/>
  <c r="D10" i="13"/>
  <c r="D11" i="13" s="1"/>
  <c r="C10" i="13"/>
  <c r="C11" i="13" s="1"/>
  <c r="E7" i="13"/>
  <c r="D44" i="13" l="1"/>
  <c r="C44" i="13"/>
  <c r="B44" i="13"/>
  <c r="D29" i="13"/>
  <c r="C29" i="13"/>
  <c r="B29" i="13"/>
  <c r="D24" i="13"/>
  <c r="C24" i="13"/>
  <c r="D17" i="13"/>
  <c r="D18" i="13" s="1"/>
  <c r="C17" i="13"/>
  <c r="C18" i="13" s="1"/>
  <c r="B17" i="13"/>
  <c r="B18" i="13" s="1"/>
  <c r="E17" i="13" l="1"/>
  <c r="E18" i="13" s="1"/>
  <c r="E47" i="13" l="1"/>
  <c r="E52" i="13"/>
  <c r="E51" i="13"/>
  <c r="E50" i="13"/>
  <c r="E49" i="13"/>
  <c r="E48" i="13"/>
  <c r="E44" i="13"/>
  <c r="E10" i="13"/>
  <c r="E11" i="13" s="1"/>
  <c r="E53" i="13" l="1"/>
  <c r="E24" i="13"/>
  <c r="E29" i="13"/>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<sst xmlns="http://schemas.openxmlformats.org/spreadsheetml/2006/main" count="1579" uniqueCount="258">
  <si>
    <t>NA</t>
  </si>
  <si>
    <t>C</t>
  </si>
  <si>
    <t>TH</t>
  </si>
  <si>
    <t>ES</t>
  </si>
  <si>
    <t>RRH</t>
  </si>
  <si>
    <t>PSH</t>
  </si>
  <si>
    <t>U</t>
  </si>
  <si>
    <t>OPH</t>
  </si>
  <si>
    <t>DV</t>
  </si>
  <si>
    <t>Yes</t>
  </si>
  <si>
    <t>HIV</t>
  </si>
  <si>
    <t>SH</t>
  </si>
  <si>
    <t>No</t>
  </si>
  <si>
    <t>CoC</t>
  </si>
  <si>
    <t>Victim Service Provider</t>
  </si>
  <si>
    <t>HOPWAMedAssistedLivingFac</t>
  </si>
  <si>
    <t>sandyRelatedNote</t>
  </si>
  <si>
    <t>sandyRelated</t>
  </si>
  <si>
    <t>projectNotes</t>
  </si>
  <si>
    <t>notes</t>
  </si>
  <si>
    <t>Updated On</t>
  </si>
  <si>
    <t>Total Beds</t>
  </si>
  <si>
    <t>O/V Beds</t>
  </si>
  <si>
    <t>Availability End Date</t>
  </si>
  <si>
    <t>Availability Start Date</t>
  </si>
  <si>
    <t>Total Seasonal Beds</t>
  </si>
  <si>
    <t>Year-Round Beds</t>
  </si>
  <si>
    <t>CH Beds HH w only Children</t>
  </si>
  <si>
    <t>Beds HH w/ only Children</t>
  </si>
  <si>
    <t>CH Beds HH w/o Children</t>
  </si>
  <si>
    <t>Youth Beds HH w/o Children</t>
  </si>
  <si>
    <t>Veteran Beds HH w/o Children</t>
  </si>
  <si>
    <t>Beds HH w/o Children</t>
  </si>
  <si>
    <t>CH Beds HH w/ Children</t>
  </si>
  <si>
    <t>Youth Beds HH w/ Children</t>
  </si>
  <si>
    <t>Veteran Beds HH w/ Children</t>
  </si>
  <si>
    <t>Units HH w/ Children</t>
  </si>
  <si>
    <t>Beds HH w/ Children</t>
  </si>
  <si>
    <t>zip</t>
  </si>
  <si>
    <t>state</t>
  </si>
  <si>
    <t>city</t>
  </si>
  <si>
    <t>address2</t>
  </si>
  <si>
    <t>address1</t>
  </si>
  <si>
    <t>federalFundingOtherSpecify</t>
  </si>
  <si>
    <t>federalFundingOther</t>
  </si>
  <si>
    <t>federalFundingIndianEhv</t>
  </si>
  <si>
    <t>federalFundingHomeArp</t>
  </si>
  <si>
    <t>federalFundingHome</t>
  </si>
  <si>
    <t>federalFundingPih</t>
  </si>
  <si>
    <t>federalFundingHopwaCovid</t>
  </si>
  <si>
    <t>federalFundingHopwaTh</t>
  </si>
  <si>
    <t>federalFundingHopwaStsf</t>
  </si>
  <si>
    <t>federalFundingHopwaPh</t>
  </si>
  <si>
    <t>federalFundingHopwaHmv</t>
  </si>
  <si>
    <t>federalFundingRhyDp</t>
  </si>
  <si>
    <t>federalFundingMgh</t>
  </si>
  <si>
    <t>federalFundingTlp</t>
  </si>
  <si>
    <t>federalFundingBcp</t>
  </si>
  <si>
    <t>federalFundingHchvSh</t>
  </si>
  <si>
    <t>federalFundingHchvCrs</t>
  </si>
  <si>
    <t>federalFundingGpdTp</t>
  </si>
  <si>
    <t>federalFundingGpdSith</t>
  </si>
  <si>
    <t>federalFundingGpdCt</t>
  </si>
  <si>
    <t>federalFundingGpdHh</t>
  </si>
  <si>
    <t>federalFundingGpdLd</t>
  </si>
  <si>
    <t>federalFundingGpdBh</t>
  </si>
  <si>
    <t>federalFundingSsvf</t>
  </si>
  <si>
    <t>federalFundingVash</t>
  </si>
  <si>
    <t>mcKinneyVentoYhdpRenewals</t>
  </si>
  <si>
    <t>mcKinneyVentoYhdp</t>
  </si>
  <si>
    <t>mcKinneyVentoShp</t>
  </si>
  <si>
    <t>mcKinneyVentoS8</t>
  </si>
  <si>
    <t>mcKinneyVentoSpC</t>
  </si>
  <si>
    <t>mcKinneyVentoCocThRrh</t>
  </si>
  <si>
    <t>mcKinneyVentoCocSro</t>
  </si>
  <si>
    <t>mcKinneyVentoCocRrh</t>
  </si>
  <si>
    <t>mcKinneyVentoCocPsh</t>
  </si>
  <si>
    <t>mcKinneyVentoCocTh</t>
  </si>
  <si>
    <t>mcKinneyVentoCocSh</t>
  </si>
  <si>
    <t>mcKinneyVentoEsgCov</t>
  </si>
  <si>
    <t>mcKinneyVentoEsgRrh</t>
  </si>
  <si>
    <t>mcKinneyVentoEsgEs</t>
  </si>
  <si>
    <t>Target Population</t>
  </si>
  <si>
    <t>Inventory Type</t>
  </si>
  <si>
    <t>HMIS Participating</t>
  </si>
  <si>
    <t>Bed Type</t>
  </si>
  <si>
    <t>Project Type</t>
  </si>
  <si>
    <t>HIC Date</t>
  </si>
  <si>
    <t>HMIS Project ID</t>
  </si>
  <si>
    <t>Project Name</t>
  </si>
  <si>
    <t>HMIS Org ID</t>
  </si>
  <si>
    <t>Organization Name</t>
  </si>
  <si>
    <t>Status</t>
  </si>
  <si>
    <t>HudNum</t>
  </si>
  <si>
    <t>CocState</t>
  </si>
  <si>
    <t>Row #</t>
  </si>
  <si>
    <t>Households without Children</t>
  </si>
  <si>
    <t>Households with Children</t>
  </si>
  <si>
    <t>Households with only Children</t>
  </si>
  <si>
    <t>Total Year-Round Beds</t>
  </si>
  <si>
    <t>Total</t>
  </si>
  <si>
    <t>HMIS Bed Coverage Rate</t>
  </si>
  <si>
    <t>Beds by HMIS Participation</t>
  </si>
  <si>
    <t>Beds by Inventory Type</t>
  </si>
  <si>
    <t>Beds by Target Population</t>
  </si>
  <si>
    <t>Current Beds</t>
  </si>
  <si>
    <t>Under Development Beds</t>
  </si>
  <si>
    <t>HMIS Beds</t>
  </si>
  <si>
    <t>Non-HMIS Beds</t>
  </si>
  <si>
    <t>Total Seasonal Beds (Regardless of Availability)</t>
  </si>
  <si>
    <t>Seasonal/Overflow Beds</t>
  </si>
  <si>
    <t>*</t>
  </si>
  <si>
    <t>HIC Summary Report</t>
  </si>
  <si>
    <t>Non-VSP HMIS Beds</t>
  </si>
  <si>
    <t>Non-VSP, Non-HMIS Beds</t>
  </si>
  <si>
    <t>Comparable</t>
  </si>
  <si>
    <t>Pit Count</t>
  </si>
  <si>
    <t>Housing Type</t>
  </si>
  <si>
    <t>mcKinneyVentoRural</t>
  </si>
  <si>
    <t>mcKinneyVentoUnshelt</t>
  </si>
  <si>
    <t>mcKinneyVentoEsgRUSH</t>
  </si>
  <si>
    <t>Inventory Start Date</t>
  </si>
  <si>
    <t>Geocode</t>
  </si>
  <si>
    <t>Year</t>
  </si>
  <si>
    <t>All Beds by Project Type</t>
  </si>
  <si>
    <t>HMIS Beds by Project Type</t>
  </si>
  <si>
    <t>Total Overflow Beds</t>
  </si>
  <si>
    <t>Non-VSP* Beds by HMIS Participation</t>
  </si>
  <si>
    <t>HMIS Bed Coverage Rate**</t>
  </si>
  <si>
    <t>Non-VSP Comp. Database Beds</t>
  </si>
  <si>
    <t>Comp. Database Beds</t>
  </si>
  <si>
    <t>Veteran Beds Summary</t>
  </si>
  <si>
    <t>Youth Beds Summary</t>
  </si>
  <si>
    <t>Chronic Beds Summary</t>
  </si>
  <si>
    <t>Filename:</t>
  </si>
  <si>
    <t>Produced:</t>
  </si>
  <si>
    <t>Expected Variables In Raw Export</t>
  </si>
  <si>
    <t>Common Name</t>
  </si>
  <si>
    <t>Note on this Template</t>
  </si>
  <si>
    <t>How To Populate This Template</t>
  </si>
  <si>
    <t>Additional Notes</t>
  </si>
  <si>
    <t>Count of Variables in HicRawData</t>
  </si>
  <si>
    <t>Count of Unique Variables in Pasted Data</t>
  </si>
  <si>
    <t>Count of Expected Variables Appearing in Pasted Data</t>
  </si>
  <si>
    <t>Variables Do Not Repeat in Pasted Data</t>
  </si>
  <si>
    <t>All Expected Variables Appearing In Pasted Data</t>
  </si>
  <si>
    <t>Total Count of Variables in HicRawData Table</t>
  </si>
  <si>
    <t>Expected Number of Variables in HicRawData</t>
  </si>
  <si>
    <t>Count of non-blank data in 'Row #' of HicRawData</t>
  </si>
  <si>
    <t>Row #' Field has non-blank data</t>
  </si>
  <si>
    <t>All Reference Fields Non Zero</t>
  </si>
  <si>
    <t>Operating Start Date</t>
  </si>
  <si>
    <t>Operating End Date</t>
  </si>
  <si>
    <t>HIC_Summary_Report_Template_v1.0.4.xlsx</t>
  </si>
  <si>
    <t>VA</t>
  </si>
  <si>
    <t>Prince William County CoC</t>
  </si>
  <si>
    <t>VA-604</t>
  </si>
  <si>
    <t>Submitted</t>
  </si>
  <si>
    <t>Northern Virginia Family Service (NVFS)(Agency)</t>
  </si>
  <si>
    <t>NVFS - SERVE Shelter (ES)(ALL)</t>
  </si>
  <si>
    <t>F</t>
  </si>
  <si>
    <t>#519153</t>
  </si>
  <si>
    <t>DHCD VHSP</t>
  </si>
  <si>
    <t>SB-S</t>
  </si>
  <si>
    <t>10056 Dean Drive</t>
  </si>
  <si>
    <t>Manassas</t>
  </si>
  <si>
    <t>Data for Other Funding isn't reporting correctly on the Project Funding View page. Other funding is marked as YES on the detail pages for each project, however, it is displaying as NO on the Project Funding View page. Manual updates on the Project Funding View page are not sticking after multiple attempts. AAQ submitted to HUD.</t>
  </si>
  <si>
    <t>Prince William County DSS (PWC DSS)(Agency)</t>
  </si>
  <si>
    <t>PWC DSS - HBHPC (ES)(FAM)</t>
  </si>
  <si>
    <t>14945 Jefferson Davis Hwy.</t>
  </si>
  <si>
    <t>Woodbridge</t>
  </si>
  <si>
    <t>Office of Housing &amp; Community Development (OHCD)(Agency)</t>
  </si>
  <si>
    <t>OHCD - Dawson Beach Program (TH)(FAM)</t>
  </si>
  <si>
    <t>14000 Dawson Beach Road</t>
  </si>
  <si>
    <t>Project is grandfathered TH project and actively receives HUD ESG funding.</t>
  </si>
  <si>
    <t>Good Shepherd Housing Foundation (GSHF)(Agency)</t>
  </si>
  <si>
    <t>GSHF - Housing Partnership Program (TH)(FAM)</t>
  </si>
  <si>
    <t>Private Funding</t>
  </si>
  <si>
    <t>TB</t>
  </si>
  <si>
    <t>13190 Center Point</t>
  </si>
  <si>
    <t>GSHF - HUD CoC Leasing (PSH)(ALL)</t>
  </si>
  <si>
    <t>SB-C</t>
  </si>
  <si>
    <t>Action in Community Through Service (ACTS)(AGENCY)</t>
  </si>
  <si>
    <t>ACTS - Beverly Warren Shelter (ES)(ALL)</t>
  </si>
  <si>
    <t>17866 Main Street</t>
  </si>
  <si>
    <t>Dumfries</t>
  </si>
  <si>
    <t>Streetlight Community Outreach Ministries (SCOM)(Agency)</t>
  </si>
  <si>
    <t>SCOM - Transitional Housing (TH)(IND)(SM)</t>
  </si>
  <si>
    <t>1550 Prince William Parkway</t>
  </si>
  <si>
    <t>Woodbridge, VA  22191</t>
  </si>
  <si>
    <t>NVFS - HUD ESG (RRH)(ALL)</t>
  </si>
  <si>
    <t>NVFS - DHCD VHSP RRH (RRH)(ALL)</t>
  </si>
  <si>
    <t>ACTS - HUD ESG (RRH)(ALL)</t>
  </si>
  <si>
    <t>3900 ACTS Lane</t>
  </si>
  <si>
    <t>ACTS - DHCD VHSP (RRH)(ALL)</t>
  </si>
  <si>
    <t>This project also receives state funding through the Virginia DHCD VHSP program (listed as â€œDHCD VHSPâ€ on our other projects).</t>
  </si>
  <si>
    <t>Department of Veteran Affairs (DVA)(Agency)</t>
  </si>
  <si>
    <t>DVA - HUD VASH (PSH)(ALL)(VET)(Non-HMIS)</t>
  </si>
  <si>
    <t>PIT Count entered for project - flagged resolved. Project is non-HMIS participating as it is not required by the project's funding source. However, the CoC continues to have conversations with their local offices managing the project to improve and expand data sharing practices.</t>
  </si>
  <si>
    <t>SCOM - HUD CoC PASS (PSH)(IND)</t>
  </si>
  <si>
    <t>SCOM - HUD CoC Good Shepherd (PSH)(IND)</t>
  </si>
  <si>
    <t>ACTS - HUD CoC (RRH)(ALL)</t>
  </si>
  <si>
    <t>Friendship Place (FP)(Agency)</t>
  </si>
  <si>
    <t>FP - VA SSVF (RRH)(ALL)(VET)(Non-HMIS)</t>
  </si>
  <si>
    <t>1020 North Fairfax Street</t>
  </si>
  <si>
    <t>Suite 300</t>
  </si>
  <si>
    <t>Alexandria</t>
  </si>
  <si>
    <t>PIT Count entered - flagged resolved. Project does not participate in this CoC's HMIS, but does complete data entry for our CoC in another HMIS. The CoC is working with SSVF providers to implement data exports between our systems. Data for Other Funding isn't reporting correctly on the Project Funding View page. Other funding is marked as YES on the detail pages for each project, however, it is displaying as NO on the Project Funding View page. Manual updates on the Project Funding View page are not sticking after multiple attempts. AAQ submitted to HUD.</t>
  </si>
  <si>
    <t>Operation Renewed Hope Foundation (ORHF)(Agency)</t>
  </si>
  <si>
    <t>ORHF - VA SSVF (RRH)(ALL)(VET)(Non-HMIS)</t>
  </si>
  <si>
    <t>P.O. Box 10142</t>
  </si>
  <si>
    <t>PIT Count entered - flagged resolved. Project does not participate in this CoC's HMIS, but does complete data entry for our CoC in another HMIS. The CoC is working with SSVF providers to implement data exports between our systems.</t>
  </si>
  <si>
    <t>Pathway Homes Inc. (PHI)(Agency)</t>
  </si>
  <si>
    <t>PHI - SHP2018 (PSH)(IND)</t>
  </si>
  <si>
    <t>10201 Fairfax Boulevard, Suite 200</t>
  </si>
  <si>
    <t>Fairfax</t>
  </si>
  <si>
    <t>Manassas Hope for the Homeless (MHH)(Agency)</t>
  </si>
  <si>
    <t>MHH - Manassas Baptist Shelter (ES)(IND)</t>
  </si>
  <si>
    <t>O</t>
  </si>
  <si>
    <t>County Funded Program</t>
  </si>
  <si>
    <t>8730 Sudley RD</t>
  </si>
  <si>
    <t>PIT Count entered - flag resolved. Project was reporting as non HMIS participating incorrectly. LSA export is pulling historical record rather than the current record for November 2019. Ticket submitted to HMIS vendor. Data for Other Funding isn't reporting correctly on the Project Funding View page. Other funding is marked as YES on the detail pages for each project, however, it is displaying as NO on the Project Funding View page. Manual updates on the Project Funding View page are not sticking after multiple attempts. AAQ submitted to HUD.</t>
  </si>
  <si>
    <t>Volunteers of America Chesapeake (VOAC)(Agency)</t>
  </si>
  <si>
    <t>VOAC - VA SSVF (RRH)(ALL)(VET)(Non-HMIS)</t>
  </si>
  <si>
    <t>1660 Duke Street</t>
  </si>
  <si>
    <t>PHI - SHP2019 (PSH)(IND)</t>
  </si>
  <si>
    <t>SCOM - El Dorado House (OPH)(IND)(SF)</t>
  </si>
  <si>
    <t>Local &amp; Private Funding</t>
  </si>
  <si>
    <t>PIT Count entered - flag resolved. Data for Other Funding isn't reporting correctly on the Project Funding View page. Other funding is marked as YES on the detail pages for each project, however, it is displaying as NO on the Project Funding View page. Manual updates on the Project Funding View page are not sticking after multiple attempts. AAQ submitted to HUD.</t>
  </si>
  <si>
    <t>SCOM - Medically Fragile Program (OPH)(IND)</t>
  </si>
  <si>
    <t>PWC DSS - Ferlazzo Shelter (ES)(IND)</t>
  </si>
  <si>
    <t>15941 Donald Curtis DR</t>
  </si>
  <si>
    <t>Project incorrectly reporting 45 persons in shelter the night of PIT rather than 43 (manually updated). Ticket submitted to HMIS vendor and HUD AAQ as we are unable to determine where this error lies in the LSA export.</t>
  </si>
  <si>
    <t>PWC DSS - Supportive Shelter (ES)(IND)</t>
  </si>
  <si>
    <t>14730 Potomac Mills Road</t>
  </si>
  <si>
    <t>SCOM - Eastern Hypothermia Shelter (ES)(IND)</t>
  </si>
  <si>
    <t>14716 Potomac Mills RD</t>
  </si>
  <si>
    <t>NVFS - DHCD HTF RRH (RRH)(ALL)</t>
  </si>
  <si>
    <t>DHCD Housing Trust Fund (RRH)</t>
  </si>
  <si>
    <t>Data for Other Funding isn't reporting correctly on the Project Funding View page. Other funding is marked as YES on the detail pages for each project, however, it is displaying as NO on the Project Funding View page. Manual updates on the Project Funding View page are not sticking after multiple attempts. Manually updated other funding source description. AAQ submitted to HUD.</t>
  </si>
  <si>
    <t>Prince William County APS (PWC APS)(Agency)</t>
  </si>
  <si>
    <t>PWC APS - Overflow Shelter (ES)(IND)(Non-HMIS)</t>
  </si>
  <si>
    <t>V</t>
  </si>
  <si>
    <t>15941 Donald Curtis Drive</t>
  </si>
  <si>
    <t>PIT Count entered - flagged resolved. Project is locally funded and is therefore not required to participate in the HMIS. The CoC is reviewing this project's capacity to complete data entry in the future. Data for Other Funding isn't reporting correctly on the Project Funding View page. Other funding is marked as YES on the detail pages for each project, however, it is displaying as NO on the Project Funding View page. Manual updates on the Project Funding View page are not sticking after multiple attempts. AAQ submitted to HUD.</t>
  </si>
  <si>
    <t>Prince William County CPS (PWC CPS)(Agency)</t>
  </si>
  <si>
    <t>PWC CPS - Overflow Shelter (ES)(FAM)(Non-HMIS)</t>
  </si>
  <si>
    <t>New Creatures in Christ Ministries (NCC)(Agency)</t>
  </si>
  <si>
    <t>NCC - Stable Families PSH (PSH)(FAM)</t>
  </si>
  <si>
    <t>DHCD Housing Trust Fund (PSH)</t>
  </si>
  <si>
    <t>4213 Dale BLVD</t>
  </si>
  <si>
    <t>Action in Community Through Service - Domestic Violence Programs (ACTS-DV) (Agency)</t>
  </si>
  <si>
    <t>ACTS-DV: Turning Points Shelter (ES)(ALL)(DV)(Non-HMIS)</t>
  </si>
  <si>
    <t>OVW VAWA funding</t>
  </si>
  <si>
    <t>PIT Count entered for project - flagged resolved.</t>
  </si>
  <si>
    <t>ACTS-DV: HUD CoC (RRH)(ALL)(DV)(Non-HMIS)</t>
  </si>
  <si>
    <t>Administrative Office</t>
  </si>
  <si>
    <t>PIT Count Entered - Flag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</si>
</sst>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1010409]General"/>
    <numFmt numFmtId="165" formatCode="0.0%"/>
    <numFmt numFmtId="166" formatCode="#,##0.0"/>
  </numFmts>
  <fonts count="24" x14ac:knownFonts="1">
    <font>
      <sz val="11"/>
      <color theme="1"/>
      <name val="Calibri"/>
      <family val="2"/>
      <scheme val="minor"/>
    </font>
    <font>
      <sz val="11"/>
      <color theme="1"/>
      <name val="Aptos"/>
      <family val="2"/>
    </font>
    <font>
      <sz val="10"/>
      <name val="Arial"/>
      <family val="2"/>
    </font>
    <font>
      <sz val="14"/>
      <color indexed="56"/>
      <name val="Aptos Narrow"/>
      <family val="2"/>
    </font>
    <font>
      <sz val="11"/>
      <color theme="1"/>
      <name val="Aptos Narrow"/>
      <family val="2"/>
    </font>
    <font>
      <b/>
      <sz val="11"/>
      <color theme="1"/>
      <name val="Aptos Narrow"/>
      <family val="2"/>
    </font>
    <font>
      <sz val="13"/>
      <color theme="0"/>
      <name val="Aptos Narrow"/>
      <family val="2"/>
    </font>
    <font>
      <sz val="11"/>
      <color theme="0" tint="-0.249977111117893"/>
      <name val="Aptos Narrow"/>
      <family val="2"/>
    </font>
    <font>
      <sz val="11"/>
      <color rgb="FF000000"/>
      <name val="Aptos Narrow"/>
      <family val="2"/>
    </font>
    <font>
      <sz val="11"/>
      <color theme="1"/>
      <name val="Calibri"/>
      <family val="2"/>
      <scheme val="minor"/>
    </font>
    <font>
      <b/>
      <sz val="18"/>
      <color theme="1"/>
      <name val="Aptos Narrow"/>
      <family val="2"/>
    </font>
    <font>
      <b/>
      <u/>
      <sz val="15"/>
      <color theme="1"/>
      <name val="Aptos Narrow"/>
      <family val="2"/>
    </font>
    <font>
      <sz val="13"/>
      <color theme="1"/>
      <name val="Aptos Narrow"/>
      <family val="2"/>
    </font>
    <font>
      <sz val="11"/>
      <name val="Aptos Narrow"/>
      <family val="2"/>
    </font>
    <font>
      <b/>
      <sz val="11"/>
      <name val="Aptos Narrow"/>
      <family val="2"/>
    </font>
    <font>
      <sz val="11"/>
      <color rgb="FF000000"/>
      <name val="Calibri"/>
      <family val="2"/>
      <scheme val="minor"/>
    </font>
    <font>
      <sz val="11"/>
      <color rgb="FFFFFFFF"/>
      <name val="Calibri"/>
      <family val="2"/>
      <scheme val="minor"/>
    </font>
    <font>
      <b/>
      <sz val="16"/>
      <color theme="1"/>
      <name val="Aptos Narrow"/>
      <family val="2"/>
    </font>
    <font>
      <b/>
      <sz val="16"/>
      <name val="Aptos Narrow"/>
      <family val="2"/>
    </font>
    <font>
      <b/>
      <sz val="14"/>
      <name val="Aptos Narrow"/>
      <family val="2"/>
    </font>
    <font>
      <b/>
      <sz val="15"/>
      <name val="Aptos Narrow"/>
      <family val="2"/>
    </font>
    <font>
      <u/>
      <sz val="15"/>
      <color theme="1"/>
      <name val="Calibri"/>
      <family val="2"/>
      <scheme val="minor"/>
    </font>
    <font>
      <sz val="15"/>
      <color theme="1"/>
      <name val="Aptos Narrow"/>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000000"/>
        <bgColor indexed="64"/>
      </patternFill>
    </fill>
  </fills>
  <borders count="1">
    <border>
      <left/>
      <right/>
      <top/>
      <bottom/>
      <diagonal/>
    </border>
  </borders>
  <cellStyleXfs count="8">
    <xf numFmtId="0" fontId="0" fillId="0" borderId="0"/>
    <xf numFmtId="0" fontId="2" fillId="0" borderId="0">
      <alignment wrapText="1"/>
    </xf>
    <xf numFmtId="0" fontId="2" fillId="0" borderId="0">
      <alignment wrapText="1"/>
    </xf>
    <xf numFmtId="0" fontId="1" fillId="0" borderId="0"/>
    <xf numFmtId="3" fontId="9" fillId="0" borderId="0" applyFont="0" applyFill="0" applyBorder="0" applyProtection="0">
      <alignment horizontal="right" vertical="center" indent="1"/>
    </xf>
    <xf numFmtId="166" fontId="9" fillId="0" borderId="0" applyFont="0" applyFill="0" applyBorder="0" applyProtection="0">
      <alignment horizontal="right" vertical="center" indent="1"/>
    </xf>
    <xf numFmtId="165" fontId="9" fillId="0" borderId="0" applyFont="0" applyFill="0" applyBorder="0" applyProtection="0">
      <alignment horizontal="right" vertical="center" indent="1"/>
    </xf>
    <xf numFmtId="10" fontId="9" fillId="0" borderId="0" applyFont="0" applyFill="0" applyBorder="0" applyProtection="0">
      <alignment horizontal="right" vertical="center" indent="1"/>
    </xf>
  </cellStyleXfs>
  <cellXfs count="53">
    <xf numFmtId="0" fontId="0" fillId="0" borderId="0" xfId="0"/>
    <xf numFmtId="0" fontId="4" fillId="2" borderId="0" xfId="0" applyFont="1" applyFill="1"/>
    <xf numFmtId="0" fontId="4" fillId="0" borderId="0" xfId="0" applyFont="1"/>
    <xf numFmtId="0" fontId="7" fillId="0" borderId="0" xfId="0" applyFont="1"/>
    <xf numFmtId="0" fontId="5" fillId="2" borderId="0" xfId="0" applyFont="1" applyFill="1" applyAlignment="1">
      <alignment horizontal="left"/>
    </xf>
    <xf numFmtId="10" fontId="5" fillId="2" borderId="0" xfId="0" applyNumberFormat="1" applyFont="1" applyFill="1"/>
    <xf numFmtId="0" fontId="5" fillId="0" borderId="0" xfId="0" applyFont="1"/>
    <xf numFmtId="3" fontId="5" fillId="0" borderId="0" xfId="0" applyNumberFormat="1" applyFont="1"/>
    <xf numFmtId="0" fontId="4" fillId="2" borderId="0" xfId="0" applyFont="1" applyFill="1" applyAlignment="1">
      <alignment horizontal="left"/>
    </xf>
    <xf numFmtId="0" fontId="4" fillId="2" borderId="0" xfId="0" applyFont="1" applyFill="1" applyAlignment="1">
      <alignment horizont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alignment wrapText="1"/>
    </xf>
    <xf numFmtId="0" fontId="5"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vertical="center" wrapText="1"/>
    </xf>
    <xf numFmtId="0" fontId="12" fillId="0" borderId="0" xfId="0" applyFont="1" applyAlignment="1">
      <alignment horizontal="center" vertical="center" wrapText="1"/>
    </xf>
    <xf numFmtId="10" fontId="5" fillId="2" borderId="0" xfId="0" applyNumberFormat="1" applyFont="1" applyFill="1" applyAlignment="1">
      <alignment horizontal="right"/>
    </xf>
    <xf numFmtId="3" fontId="4" fillId="0" borderId="0" xfId="4" applyFont="1" applyFill="1" applyBorder="1">
      <alignment horizontal="right" vertical="center" indent="1"/>
    </xf>
    <xf numFmtId="165" fontId="5" fillId="2" borderId="0" xfId="6" applyFont="1" applyFill="1" applyBorder="1">
      <alignment horizontal="right" vertical="center" indent="1"/>
    </xf>
    <xf numFmtId="3" fontId="4" fillId="0" borderId="0" xfId="4" applyFont="1" applyFill="1">
      <alignment horizontal="right" vertical="center" indent="1"/>
    </xf>
    <xf numFmtId="3" fontId="0" fillId="0" borderId="0" xfId="4" applyFont="1">
      <alignment horizontal="right" vertical="center" indent="1"/>
    </xf>
    <xf numFmtId="3" fontId="4" fillId="0" borderId="0" xfId="4" applyFont="1">
      <alignment horizontal="right" vertical="center" indent="1"/>
    </xf>
    <xf numFmtId="3" fontId="4" fillId="0" borderId="0" xfId="0" applyNumberFormat="1" applyFont="1" applyAlignment="1">
      <alignment horizontal="right" vertical="center" indent="1"/>
    </xf>
    <xf numFmtId="3" fontId="9" fillId="0" borderId="0" xfId="4" applyFont="1">
      <alignment horizontal="right" vertical="center" indent="1"/>
    </xf>
    <xf numFmtId="3" fontId="4" fillId="0" borderId="0" xfId="0" applyNumberFormat="1" applyFont="1" applyAlignment="1">
      <alignment horizontal="right" vertical="center"/>
    </xf>
    <xf numFmtId="3" fontId="12" fillId="0" borderId="0" xfId="0" applyNumberFormat="1" applyFont="1" applyAlignment="1">
      <alignment horizontal="center" vertical="center" wrapText="1"/>
    </xf>
    <xf numFmtId="164" fontId="10" fillId="0" borderId="0" xfId="1" applyNumberFormat="1" applyFont="1" applyAlignment="1">
      <alignment horizontal="left" vertical="center" readingOrder="1"/>
    </xf>
    <xf numFmtId="164" fontId="3" fillId="0" borderId="0" xfId="1" applyNumberFormat="1" applyFont="1" applyAlignment="1">
      <alignment horizontal="left" vertical="top" wrapText="1" readingOrder="1"/>
    </xf>
    <xf numFmtId="164" fontId="11" fillId="0" borderId="0" xfId="1" applyNumberFormat="1" applyFont="1" applyAlignment="1">
      <alignment horizontal="left" vertical="center" readingOrder="1"/>
    </xf>
    <xf numFmtId="3" fontId="4"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0" fontId="13" fillId="0" borderId="0" xfId="0" applyFont="1" applyAlignment="1">
      <alignment wrapText="1"/>
    </xf>
    <xf numFmtId="3" fontId="8" fillId="0" borderId="0" xfId="4" applyFont="1" applyFill="1" applyAlignment="1">
      <alignment horizontal="right"/>
    </xf>
    <xf numFmtId="0" fontId="15" fillId="3" borderId="0" xfId="0" applyFont="1" applyFill="1"/>
    <xf numFmtId="14" fontId="0" fillId="0" borderId="0" xfId="0" applyNumberFormat="1"/>
    <xf numFmtId="0" fontId="16" fillId="4" borderId="0" xfId="0" applyFont="1" applyFill="1"/>
    <xf numFmtId="22" fontId="0" fillId="0" borderId="0" xfId="0" applyNumberFormat="1"/>
    <xf numFmtId="164" fontId="17" fillId="0" borderId="0" xfId="1" applyNumberFormat="1" applyFont="1" applyAlignment="1">
      <alignment horizontal="left" vertical="center" readingOrder="1"/>
    </xf>
    <xf numFmtId="164" fontId="18" fillId="0" borderId="0" xfId="1" applyNumberFormat="1" applyFont="1" applyAlignment="1">
      <alignment horizontal="left" vertical="center" readingOrder="1"/>
    </xf>
    <xf numFmtId="164" fontId="19" fillId="0" borderId="0" xfId="1" applyNumberFormat="1" applyFont="1" applyAlignment="1">
      <alignment horizontal="left" vertical="center" readingOrder="1"/>
    </xf>
    <xf numFmtId="164" fontId="3" fillId="0" borderId="0" xfId="1" applyNumberFormat="1" applyFont="1" applyAlignment="1">
      <alignment horizontal="left" vertical="center" wrapText="1" readingOrder="1"/>
    </xf>
    <xf numFmtId="0" fontId="20" fillId="0" borderId="0" xfId="0" applyFont="1"/>
    <xf numFmtId="0" fontId="21" fillId="0" borderId="0" xfId="0" applyFont="1" applyAlignment="1">
      <alignment vertical="center"/>
    </xf>
    <xf numFmtId="0" fontId="16" fillId="4" borderId="0" xfId="0" quotePrefix="1" applyFont="1" applyFill="1"/>
    <xf numFmtId="0" fontId="22" fillId="0" borderId="0" xfId="0" applyFont="1" applyAlignment="1">
      <alignment vertical="center"/>
    </xf>
    <xf numFmtId="0" fontId="0" fillId="0" borderId="0" xfId="0" applyAlignment="1">
      <alignment vertical="center" wrapText="1"/>
    </xf>
    <xf numFmtId="0" fontId="4" fillId="0" borderId="0" xfId="3" applyFont="1" applyAlignment="1">
      <alignment horizontal="left" vertical="center" wrapText="1"/>
    </xf>
    <xf numFmtId="0" fontId="4" fillId="0" borderId="0" xfId="3" applyFont="1" applyAlignment="1">
      <alignment horizontal="left"/>
    </xf>
    <xf numFmtId="0" fontId="0" fillId="0" borderId="0" xfId="0" applyAlignment="1">
      <alignment horizontal="left"/>
    </xf>
    <xf numFmtId="15" fontId="0" fillId="0" borderId="0" xfId="0" applyNumberFormat="1" applyAlignment="1">
      <alignment horizontal="left"/>
    </xf>
  </cellXfs>
  <cellStyles count="8">
    <cellStyle name="0DecWComma&amp;0" xfId="4" xr:uid="{9EA711D1-21A9-4344-A75F-61067E263F96}"/>
    <cellStyle name="1DecWComma&amp;0" xfId="5" xr:uid="{C6E9295C-1928-40F0-9C7A-E2B28C2E0045}"/>
    <cellStyle name="Normal" xfId="0" builtinId="0"/>
    <cellStyle name="Normal 2" xfId="1" xr:uid="{E8C68911-312A-4328-AA50-FC8F41EBFCD3}"/>
    <cellStyle name="Normal 2 2" xfId="2" xr:uid="{391D6831-603B-484B-BEC3-1ABE00B338BE}"/>
    <cellStyle name="Normal 3" xfId="3" xr:uid="{92082B34-06C2-47E4-8BDD-A48CCEC5D930}"/>
    <cellStyle name="Pct1Dec" xfId="6" xr:uid="{FC7FCCFA-F412-4673-9602-D8C9E6DAE7E0}"/>
    <cellStyle name="Pct2Dec" xfId="7" xr:uid="{0073FE48-6B91-4F9A-BD30-2DAC7E2368F1}"/>
  </cellStyles>
  <dxfs count="890">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center" textRotation="0" wrapText="1"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numFmt numFmtId="20" formatCode="d\-mmm\-yy"/>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alignment horizontal="left" textRotation="0" indent="0" justifyLastLine="0" shrinkToFit="0" readingOrder="0"/>
    </dxf>
    <dxf>
      <numFmt numFmtId="20" formatCode="d\-mmm\-yy"/>
      <alignment horizontal="left" textRotation="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numFmt numFmtId="20" formatCode="d\-mmm\-yy"/>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numFmt numFmtId="20" formatCode="d\-mmm\-yy"/>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alignment horizontal="left" textRotation="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strike val="0"/>
        <outline val="0"/>
        <shadow val="0"/>
        <u val="none"/>
        <vertAlign val="baseline"/>
        <sz val="11"/>
        <name val="Aptos Narrow"/>
        <family val="2"/>
        <scheme val="none"/>
      </font>
      <alignment horizontal="left" vertical="bottom" textRotation="0" wrapText="0"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Aptos Narrow"/>
        <family val="2"/>
        <scheme val="none"/>
      </font>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Aptos Narrow"/>
        <family val="2"/>
        <scheme val="none"/>
      </font>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Calibri"/>
        <family val="2"/>
        <scheme val="minor"/>
      </font>
    </dxf>
    <dxf>
      <numFmt numFmtId="3" formatCode="#,##0"/>
    </dxf>
    <dxf>
      <font>
        <b val="0"/>
        <i val="0"/>
        <strike val="0"/>
        <condense val="0"/>
        <extend val="0"/>
        <outline val="0"/>
        <shadow val="0"/>
        <u val="none"/>
        <vertAlign val="baseline"/>
        <sz val="11"/>
        <color theme="1"/>
        <name val="Aptos Narrow"/>
        <family val="2"/>
        <scheme val="none"/>
      </font>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strike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textRotation="0" wrapText="0" indent="0" justifyLastLine="0" shrinkToFit="0" readingOrder="0"/>
    </dxf>
    <dxf>
      <font>
        <strike val="0"/>
        <outline val="0"/>
        <shadow val="0"/>
        <u val="none"/>
        <vertAlign val="baseline"/>
        <sz val="11"/>
        <color rgb="FF000000"/>
        <name val="Aptos Narrow"/>
        <family val="2"/>
        <scheme val="none"/>
      </font>
      <numFmt numFmtId="3" formatCode="#,##0"/>
      <alignment textRotation="0" wrapText="0" indent="0" justifyLastLine="0" shrinkToFit="0" readingOrder="0"/>
    </dxf>
    <dxf>
      <font>
        <b val="0"/>
        <i val="0"/>
        <strike val="0"/>
        <condense val="0"/>
        <extend val="0"/>
        <outline val="0"/>
        <shadow val="0"/>
        <u val="none"/>
        <vertAlign val="baseline"/>
        <sz val="13"/>
        <color theme="1"/>
        <name val="Aptos Narrow"/>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rgb="FF000000"/>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rgb="FF000000"/>
        <name val="Aptos Narrow"/>
        <family val="2"/>
        <scheme val="none"/>
      </font>
      <fill>
        <patternFill patternType="none">
          <fgColor rgb="FF000000"/>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rgb="FF000000"/>
        <name val="Aptos Narrow"/>
        <family val="2"/>
        <scheme val="none"/>
      </font>
    </dxf>
    <dxf>
      <font>
        <strike val="0"/>
        <outline val="0"/>
        <shadow val="0"/>
        <u val="none"/>
        <vertAlign val="baseline"/>
        <sz val="11"/>
        <color rgb="FF000000"/>
        <name val="Aptos Narrow"/>
        <family val="2"/>
        <scheme val="none"/>
      </font>
    </dxf>
    <dxf>
      <font>
        <strike val="0"/>
        <outline val="0"/>
        <shadow val="0"/>
        <u val="none"/>
        <vertAlign val="baseline"/>
        <sz val="13"/>
        <color theme="1"/>
        <name val="Aptos Narrow"/>
        <family val="2"/>
        <scheme val="none"/>
      </font>
    </dxf>
    <dxf>
      <font>
        <b val="0"/>
        <i val="0"/>
        <strike val="0"/>
        <condense val="0"/>
        <extend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strike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textRotation="0" wrapText="0" indent="0" justifyLastLine="0" shrinkToFit="0" readingOrder="0"/>
    </dxf>
    <dxf>
      <font>
        <strike val="0"/>
        <outline val="0"/>
        <shadow val="0"/>
        <u val="none"/>
        <vertAlign val="baseline"/>
        <sz val="11"/>
        <color theme="1"/>
        <name val="Aptos Narrow"/>
        <family val="2"/>
        <scheme val="none"/>
      </font>
      <numFmt numFmtId="3" formatCode="#,##0"/>
      <alignment textRotation="0" wrapText="0" indent="0" justifyLastLine="0" shrinkToFit="0" readingOrder="0"/>
    </dxf>
    <dxf>
      <font>
        <b val="0"/>
        <i val="0"/>
        <strike val="0"/>
        <condense val="0"/>
        <extend val="0"/>
        <outline val="0"/>
        <shadow val="0"/>
        <u val="none"/>
        <vertAlign val="baseline"/>
        <sz val="13"/>
        <color theme="1"/>
        <name val="Aptos Narrow"/>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Calibri"/>
        <family val="2"/>
        <scheme val="minor"/>
      </font>
      <numFmt numFmtId="3" formatCode="#,##0"/>
      <alignment horizontal="right" vertical="center" textRotation="0" wrapText="0" indent="1" justifyLastLine="0" shrinkToFit="0" readingOrder="0"/>
    </dxf>
    <dxf>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name val="Aptos Narrow"/>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numFmt numFmtId="3" formatCode="#,##0"/>
      <alignment horizontal="right" vertical="center" textRotation="0" wrapText="0" indent="1" justifyLastLine="0" shrinkToFit="0" readingOrder="0"/>
    </dxf>
    <dxf>
      <font>
        <strike val="0"/>
        <outline val="0"/>
        <shadow val="0"/>
        <vertAlign val="baseline"/>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vertAlign val="baseline"/>
        <name val="Aptos Narrow"/>
        <family val="2"/>
        <scheme val="none"/>
      </font>
    </dxf>
    <dxf>
      <font>
        <strike val="0"/>
        <outline val="0"/>
        <shadow val="0"/>
        <vertAlign val="baseline"/>
        <name val="Aptos Narrow"/>
        <family val="2"/>
        <scheme val="none"/>
      </font>
      <alignment horizontal="general" vertical="bottom" textRotation="0" wrapText="0" indent="0" justifyLastLine="0" shrinkToFit="0" readingOrder="0"/>
    </dxf>
    <dxf>
      <font>
        <strike val="0"/>
        <outline val="0"/>
        <shadow val="0"/>
        <u val="none"/>
        <vertAlign val="baseline"/>
        <sz val="13"/>
        <color theme="1"/>
        <name val="Aptos Narrow"/>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dxf>
    <dxf>
      <font>
        <b val="0"/>
        <i val="0"/>
        <strike val="0"/>
        <condense val="0"/>
        <extend val="0"/>
        <outline val="0"/>
        <shadow val="0"/>
        <u val="none"/>
        <vertAlign val="baseline"/>
        <sz val="11"/>
        <color theme="1"/>
        <name val="Aptos Narrow"/>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ptos Narrow"/>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strike val="0"/>
        <outline val="0"/>
        <shadow val="0"/>
        <vertAlign val="baseline"/>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auto="1"/>
        </patternFill>
      </fill>
      <alignment vertical="bottom" textRotation="0" wrapText="0" indent="0" justifyLastLine="0" shrinkToFit="0" readingOrder="0"/>
    </dxf>
    <dxf>
      <font>
        <b val="0"/>
        <i val="0"/>
        <strike val="0"/>
        <condense val="0"/>
        <extend val="0"/>
        <outline val="0"/>
        <shadow val="0"/>
        <u val="none"/>
        <vertAlign val="baseline"/>
        <sz val="13"/>
        <color theme="0"/>
        <name val="Aptos Narrow"/>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fill>
        <patternFill patternType="none">
          <fgColor indexed="64"/>
          <bgColor indexed="65"/>
        </patternFill>
      </fill>
      <border diagonalUp="0" diagonalDown="0" outline="0">
        <left/>
        <right/>
        <top/>
        <bottom/>
      </border>
    </dxf>
    <dxf>
      <font>
        <strike val="0"/>
        <outline val="0"/>
        <shadow val="0"/>
        <u val="none"/>
        <vertAlign val="baseline"/>
        <sz val="11"/>
        <color theme="1"/>
        <name val="Aptos Narrow"/>
        <family val="2"/>
        <scheme val="none"/>
      </font>
      <numFmt numFmtId="3" formatCode="#,##0"/>
    </dxf>
    <dxf>
      <font>
        <b val="0"/>
        <i val="0"/>
        <strike val="0"/>
        <condense val="0"/>
        <extend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numFmt numFmtId="0" formatCode="General"/>
    </dxf>
    <dxf>
      <font>
        <b val="0"/>
        <strike val="0"/>
        <outline val="0"/>
        <shadow val="0"/>
        <u val="none"/>
        <vertAlign val="baseline"/>
        <sz val="11"/>
        <color theme="1"/>
        <name val="Aptos Narrow"/>
        <family val="2"/>
        <scheme val="none"/>
      </font>
    </dxf>
    <dxf>
      <font>
        <strike val="0"/>
        <outline val="0"/>
        <shadow val="0"/>
        <u val="none"/>
        <vertAlign val="baseline"/>
        <sz val="11"/>
        <color theme="1"/>
        <name val="Aptos Narrow"/>
        <family val="2"/>
        <scheme val="none"/>
      </font>
    </dxf>
    <dxf>
      <font>
        <strike val="0"/>
        <outline val="0"/>
        <shadow val="0"/>
        <u val="none"/>
        <vertAlign val="baseline"/>
        <sz val="13"/>
        <color theme="1"/>
        <name val="Aptos Narrow"/>
        <family val="2"/>
        <scheme val="none"/>
      </font>
    </dxf>
    <dxf>
      <fill>
        <patternFill patternType="solid">
          <fgColor rgb="FFFF3B30"/>
          <bgColor rgb="FF000000"/>
        </patternFill>
      </fill>
    </dxf>
    <dxf>
      <fill>
        <patternFill patternType="solid">
          <fgColor theme="4" tint="0.79998168889431442"/>
          <bgColor theme="4" tint="0.79998168889431442"/>
        </patternFill>
      </fill>
    </dxf>
    <dxf>
      <font>
        <b/>
        <color theme="1"/>
      </font>
    </dxf>
    <dxf>
      <font>
        <b/>
        <color theme="1"/>
      </font>
    </dxf>
    <dxf>
      <font>
        <b/>
        <color theme="1"/>
      </font>
      <border diagonalUp="0" diagonalDown="0">
        <left/>
        <right/>
        <top style="double">
          <color theme="4" tint="0.39994506668294322"/>
        </top>
        <bottom style="thin">
          <color theme="4" tint="0.39991454817346722"/>
        </bottom>
        <vertical/>
        <horizontal/>
      </border>
    </dxf>
    <dxf>
      <font>
        <b/>
        <color theme="0"/>
      </font>
      <fill>
        <patternFill patternType="solid">
          <fgColor theme="4"/>
          <bgColor rgb="FF1C3A70"/>
        </patternFill>
      </fill>
    </dxf>
    <dxf>
      <font>
        <color theme="1"/>
      </font>
      <border>
        <left style="thin">
          <color theme="4" tint="0.39997558519241921"/>
        </left>
        <right style="thin">
          <color theme="4" tint="0.39997558519241921"/>
        </right>
        <top style="thin">
          <color theme="4" tint="0.39997558519241921"/>
        </top>
        <bottom style="thin">
          <color theme="4" tint="0.39994506668294322"/>
        </bottom>
        <horizontal style="thin">
          <color theme="4" tint="0.39997558519241921"/>
        </horizontal>
      </border>
    </dxf>
  </dxfs>
  <tableStyles count="1" defaultTableStyle="TableStyleMedium2" defaultPivotStyle="PivotStyleLight16">
    <tableStyle name="HDXTableStyle2" pivot="0" count="6" xr9:uid="{2FD7DB8A-1731-41FE-B106-6E8FDE54D2EF}">
      <tableStyleElement type="wholeTable" dxfId="889"/>
      <tableStyleElement type="headerRow" dxfId="888"/>
      <tableStyleElement type="totalRow" dxfId="887"/>
      <tableStyleElement type="firstColumn" dxfId="886"/>
      <tableStyleElement type="lastColumn" dxfId="885"/>
      <tableStyleElement type="firstRowStripe" dxfId="884"/>
    </tableStyle>
  </tableStyles>
  <colors>
    <mruColors>
      <color rgb="FF003366"/>
      <color rgb="FF175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23/09/relationships/Python" Target="pyth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7</xdr:row>
      <xdr:rowOff>114300</xdr:rowOff>
    </xdr:to>
    <xdr:sp macro="" textlink="">
      <xdr:nvSpPr>
        <xdr:cNvPr id="2" name="AutoShape 1">
          <a:extLst>
            <a:ext uri="{FF2B5EF4-FFF2-40B4-BE49-F238E27FC236}">
              <a16:creationId xmlns:a16="http://schemas.microsoft.com/office/drawing/2014/main" id="{003D1E39-7CB8-40E1-BEDC-2F4F8E4A021D}"/>
            </a:ext>
          </a:extLst>
        </xdr:cNvPr>
        <xdr:cNvSpPr>
          <a:spLocks noChangeAspect="1" noChangeArrowheads="1"/>
        </xdr:cNvSpPr>
      </xdr:nvSpPr>
      <xdr:spPr bwMode="auto">
        <a:xfrm>
          <a:off x="0" y="139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114300</xdr:rowOff>
    </xdr:to>
    <xdr:sp macro="" textlink="">
      <xdr:nvSpPr>
        <xdr:cNvPr id="3" name="AutoShape 2">
          <a:extLst>
            <a:ext uri="{FF2B5EF4-FFF2-40B4-BE49-F238E27FC236}">
              <a16:creationId xmlns:a16="http://schemas.microsoft.com/office/drawing/2014/main" id="{E0DE0CDD-BF54-422B-8C66-B0B91DA94E50}"/>
            </a:ext>
          </a:extLst>
        </xdr:cNvPr>
        <xdr:cNvSpPr>
          <a:spLocks noChangeAspect="1" noChangeArrowheads="1"/>
        </xdr:cNvSpPr>
      </xdr:nvSpPr>
      <xdr:spPr bwMode="auto">
        <a:xfrm>
          <a:off x="0" y="1390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22412</xdr:rowOff>
    </xdr:from>
    <xdr:ext cx="7760804" cy="702885"/>
    <xdr:sp macro="" textlink="">
      <xdr:nvSpPr>
        <xdr:cNvPr id="4" name="Measure 1, Table 1 Description">
          <a:extLst>
            <a:ext uri="{FF2B5EF4-FFF2-40B4-BE49-F238E27FC236}">
              <a16:creationId xmlns:a16="http://schemas.microsoft.com/office/drawing/2014/main" id="{174B68B1-FAB4-4505-A885-28119F7C59D4}"/>
            </a:ext>
          </a:extLst>
        </xdr:cNvPr>
        <xdr:cNvSpPr txBox="1"/>
      </xdr:nvSpPr>
      <xdr:spPr>
        <a:xfrm>
          <a:off x="0" y="1222562"/>
          <a:ext cx="7760804" cy="702885"/>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spAutoFit/>
        </a:bodyPr>
        <a:lstStyle/>
        <a:p>
          <a:r>
            <a:rPr lang="en-US" sz="1300" baseline="0">
              <a:solidFill>
                <a:schemeClr val="tx1"/>
              </a:solidFill>
              <a:latin typeface="Aptos Narrow" panose="020B0004020202020204" pitchFamily="34" charset="0"/>
            </a:rPr>
            <a:t>This spreadsheet has been designed as a lightweight method for users to view their HIC data in a spreadsheet-based format that is easier to visualize and print and includes references to the raw data elements users fill find in the HIC data as entered in HDX 2.0.</a:t>
          </a:r>
        </a:p>
      </xdr:txBody>
    </xdr:sp>
    <xdr:clientData/>
  </xdr:oneCellAnchor>
  <xdr:oneCellAnchor>
    <xdr:from>
      <xdr:col>0</xdr:col>
      <xdr:colOff>0</xdr:colOff>
      <xdr:row>10</xdr:row>
      <xdr:rowOff>242715</xdr:rowOff>
    </xdr:from>
    <xdr:ext cx="7578587" cy="1313436"/>
    <xdr:sp macro="" textlink="">
      <xdr:nvSpPr>
        <xdr:cNvPr id="5" name="Measure 1, Table 1 Description">
          <a:extLst>
            <a:ext uri="{FF2B5EF4-FFF2-40B4-BE49-F238E27FC236}">
              <a16:creationId xmlns:a16="http://schemas.microsoft.com/office/drawing/2014/main" id="{7E9240CE-C7FF-4DDA-A5E4-FD6E0A0B4F5A}"/>
            </a:ext>
          </a:extLst>
        </xdr:cNvPr>
        <xdr:cNvSpPr txBox="1"/>
      </xdr:nvSpPr>
      <xdr:spPr>
        <a:xfrm>
          <a:off x="0" y="2395365"/>
          <a:ext cx="7578587" cy="1313436"/>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Aptos Narrow" panose="020B0004020202020204" pitchFamily="34" charset="0"/>
              <a:ea typeface="+mn-ea"/>
              <a:cs typeface="+mn-cs"/>
            </a:rPr>
            <a:t>For a visual guide with screenshots for how to populate this template, please check the HDX 2.0 Issues page (the URL to that page is available on the banner of HDX). Otherwise, follow these instructions: 1) Download the HIC Raw Data from the "HIC Reports" page of the HIC module of HDX and open it in Excel. 2) Paste that .csv data into the "HicRawData" tab of this spreadsheet (we recommend that you use the 'Paste as Values" option). The data on all other tabs will then update automatically. You may need to enable automatic calculation in the "Formulas" tab of Excel.</a:t>
          </a:r>
          <a:endParaRPr lang="en-US" sz="1300">
            <a:effectLst/>
            <a:latin typeface="Aptos Narrow" panose="020B0004020202020204" pitchFamily="34" charset="0"/>
          </a:endParaRPr>
        </a:p>
      </xdr:txBody>
    </xdr:sp>
    <xdr:clientData/>
  </xdr:oneCellAnchor>
  <xdr:oneCellAnchor>
    <xdr:from>
      <xdr:col>3</xdr:col>
      <xdr:colOff>221356</xdr:colOff>
      <xdr:row>0</xdr:row>
      <xdr:rowOff>0</xdr:rowOff>
    </xdr:from>
    <xdr:ext cx="2001332" cy="295850"/>
    <xdr:sp macro="" textlink="">
      <xdr:nvSpPr>
        <xdr:cNvPr id="6" name="Measure 1, Table 1 Description">
          <a:extLst>
            <a:ext uri="{FF2B5EF4-FFF2-40B4-BE49-F238E27FC236}">
              <a16:creationId xmlns:a16="http://schemas.microsoft.com/office/drawing/2014/main" id="{6CDA79AA-A136-4013-A972-4C223FE9591B}"/>
            </a:ext>
          </a:extLst>
        </xdr:cNvPr>
        <xdr:cNvSpPr txBox="1"/>
      </xdr:nvSpPr>
      <xdr:spPr>
        <a:xfrm>
          <a:off x="6098281" y="0"/>
          <a:ext cx="2001332" cy="295850"/>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spAutoFit/>
        </a:bodyPr>
        <a:lstStyle/>
        <a:p>
          <a:pPr algn="r"/>
          <a:r>
            <a:rPr lang="en-US" sz="1300">
              <a:solidFill>
                <a:schemeClr val="tx1"/>
              </a:solidFill>
              <a:latin typeface="+mn-lt"/>
            </a:rPr>
            <a:t>This document is printable</a:t>
          </a:r>
        </a:p>
      </xdr:txBody>
    </xdr:sp>
    <xdr:clientData/>
  </xdr:oneCellAnchor>
  <xdr:oneCellAnchor>
    <xdr:from>
      <xdr:col>0</xdr:col>
      <xdr:colOff>0</xdr:colOff>
      <xdr:row>19</xdr:row>
      <xdr:rowOff>221318</xdr:rowOff>
    </xdr:from>
    <xdr:ext cx="7578587" cy="2025034"/>
    <xdr:sp macro="" textlink="">
      <xdr:nvSpPr>
        <xdr:cNvPr id="7" name="Measure 1, Table 1 Description">
          <a:extLst>
            <a:ext uri="{FF2B5EF4-FFF2-40B4-BE49-F238E27FC236}">
              <a16:creationId xmlns:a16="http://schemas.microsoft.com/office/drawing/2014/main" id="{E5DBA013-BEF8-4A3F-B830-50A84B5F8B79}"/>
            </a:ext>
          </a:extLst>
        </xdr:cNvPr>
        <xdr:cNvSpPr txBox="1"/>
      </xdr:nvSpPr>
      <xdr:spPr>
        <a:xfrm>
          <a:off x="0" y="4145618"/>
          <a:ext cx="7578587" cy="2025034"/>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Aptos Narrow" panose="020B0004020202020204" pitchFamily="34" charset="0"/>
              <a:ea typeface="+mn-ea"/>
              <a:cs typeface="+mn-cs"/>
            </a:rPr>
            <a:t>All of the sheets of this spreadsheet are locked by default except for the "HicRawData" sheet. Some advanced users may choose to make edits by unlocking the spreadsheet - the password to unlock the spreadsheet is "unlock" (without quotes). Users who unlock the spreadsheet may choose to unhide column that contain variable references. For most users, however, we do not recommend making edits to any of the formulas as this can make the template behave in unexpected ways. AAQ support cannot be provided to individuals who have edited formulas in this spreadsheet. </a:t>
          </a:r>
        </a:p>
        <a:p>
          <a:pPr marL="0" marR="0" lvl="0" indent="0" defTabSz="914400" eaLnBrk="1" fontAlgn="auto" latinLnBrk="0" hangingPunct="1">
            <a:lnSpc>
              <a:spcPct val="100000"/>
            </a:lnSpc>
            <a:spcBef>
              <a:spcPts val="0"/>
            </a:spcBef>
            <a:spcAft>
              <a:spcPts val="0"/>
            </a:spcAft>
            <a:buClrTx/>
            <a:buSzTx/>
            <a:buFontTx/>
            <a:buNone/>
            <a:tabLst/>
            <a:defRPr/>
          </a:pPr>
          <a:endParaRPr lang="en-US" sz="1300" baseline="0">
            <a:solidFill>
              <a:schemeClr val="dk1"/>
            </a:solidFill>
            <a:effectLst/>
            <a:latin typeface="Aptos Narrow" panose="020B00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Aptos Narrow" panose="020B0004020202020204" pitchFamily="34" charset="0"/>
              <a:ea typeface="+mn-ea"/>
              <a:cs typeface="+mn-cs"/>
            </a:rPr>
            <a:t>If, after pasting your data, you still see many cells showing "NO DATA" or experience other issues, we recommend that you redownload the latest raw data and template available on HDX.</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9719AB70-6FAF-41AF-A944-1FB3FC8F3D59}"/>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B91CF676-BF18-4FCB-92EE-76BFF2387AC5}"/>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xdr:col>
      <xdr:colOff>1285875</xdr:colOff>
      <xdr:row>11</xdr:row>
      <xdr:rowOff>125536</xdr:rowOff>
    </xdr:from>
    <xdr:ext cx="3171825" cy="1246064"/>
    <xdr:sp macro="" textlink="">
      <xdr:nvSpPr>
        <xdr:cNvPr id="2" name="Measure 1, Table 1 Description">
          <a:extLst>
            <a:ext uri="{FF2B5EF4-FFF2-40B4-BE49-F238E27FC236}">
              <a16:creationId xmlns:a16="http://schemas.microsoft.com/office/drawing/2014/main" id="{D4372B84-4F95-4234-8D15-1458B081DB66}"/>
            </a:ext>
          </a:extLst>
        </xdr:cNvPr>
        <xdr:cNvSpPr txBox="1"/>
      </xdr:nvSpPr>
      <xdr:spPr>
        <a:xfrm>
          <a:off x="6238875" y="2221036"/>
          <a:ext cx="3171825" cy="1246064"/>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noAutofit/>
        </a:bodyPr>
        <a:lstStyle/>
        <a:p>
          <a:r>
            <a:rPr lang="en-US" sz="2400" baseline="0">
              <a:solidFill>
                <a:schemeClr val="tx1"/>
              </a:solidFill>
              <a:latin typeface="+mn-lt"/>
            </a:rPr>
            <a:t>This tab is intended for administrative use only.</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3" name="HIC Competition Report Notes">
          <a:extLst>
            <a:ext uri="{FF2B5EF4-FFF2-40B4-BE49-F238E27FC236}">
              <a16:creationId xmlns:a16="http://schemas.microsoft.com/office/drawing/2014/main" id="{8126CCA8-FCD8-4D88-B778-CE1923AD5880}"/>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5" name="HIC Competition Report Notes">
          <a:extLst>
            <a:ext uri="{FF2B5EF4-FFF2-40B4-BE49-F238E27FC236}">
              <a16:creationId xmlns:a16="http://schemas.microsoft.com/office/drawing/2014/main" id="{697D8212-EB19-407E-AC1C-D6178B236921}"/>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CC9D648E-6945-4F40-A71C-10D64F6AA765}"/>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487181BD-9C99-48AC-AF67-9148F2311FCB}"/>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66B74FC4-86B8-44F3-AC95-DA04E1CB2701}"/>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97CF24C0-EF9B-4A45-B023-75FD14E6E506}"/>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2" name="HIC Competition Report Notes">
          <a:extLst>
            <a:ext uri="{FF2B5EF4-FFF2-40B4-BE49-F238E27FC236}">
              <a16:creationId xmlns:a16="http://schemas.microsoft.com/office/drawing/2014/main" id="{7630ECA8-A7F0-483E-8E7B-AD0C8A0DEE1E}"/>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54</xdr:row>
      <xdr:rowOff>0</xdr:rowOff>
    </xdr:from>
    <xdr:ext cx="7702826" cy="2738057"/>
    <xdr:sp macro="" textlink="">
      <xdr:nvSpPr>
        <xdr:cNvPr id="3" name="HIC Competition Report Notes">
          <a:extLst>
            <a:ext uri="{FF2B5EF4-FFF2-40B4-BE49-F238E27FC236}">
              <a16:creationId xmlns:a16="http://schemas.microsoft.com/office/drawing/2014/main" id="{691BACE9-597A-4534-8758-550FBD5F7DF7}"/>
            </a:ext>
          </a:extLst>
        </xdr:cNvPr>
        <xdr:cNvSpPr txBox="1"/>
      </xdr:nvSpPr>
      <xdr:spPr>
        <a:xfrm>
          <a:off x="0" y="15944022"/>
          <a:ext cx="7702826" cy="2738057"/>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Notes:</a:t>
          </a:r>
        </a:p>
        <a:p>
          <a:pPr marL="0" marR="0" lvl="0" indent="0" defTabSz="914400" eaLnBrk="1" fontAlgn="auto" latinLnBrk="0" hangingPunct="1">
            <a:lnSpc>
              <a:spcPct val="100000"/>
            </a:lnSpc>
            <a:spcBef>
              <a:spcPts val="0"/>
            </a:spcBef>
            <a:spcAft>
              <a:spcPts val="0"/>
            </a:spcAft>
            <a:buClrTx/>
            <a:buSzTx/>
            <a:buFontTx/>
            <a:buNone/>
            <a:tabLst/>
            <a:defRPr/>
          </a:pPr>
          <a:r>
            <a:rPr lang="en-US" sz="1300">
              <a:solidFill>
                <a:schemeClr val="dk1"/>
              </a:solidFill>
              <a:effectLst/>
              <a:latin typeface="Aptos Narrow" panose="020B0004020202020204" pitchFamily="34" charset="0"/>
              <a:ea typeface="+mn-ea"/>
              <a:cs typeface="+mn-cs"/>
            </a:rPr>
            <a:t>• This summary includes exclusively current inventory (i.e. inventory records for which the "Inventory Type" is "C") and not beds that are under development ("Inventory Type" of "U") unless otherwise specified.</a:t>
          </a:r>
          <a:endParaRPr lang="en-US" sz="1300">
            <a:latin typeface="Aptos Narrow" panose="020B0004020202020204" pitchFamily="34" charset="0"/>
          </a:endParaRPr>
        </a:p>
        <a:p>
          <a:endParaRPr lang="en-US" sz="1300">
            <a:solidFill>
              <a:schemeClr val="dk1"/>
            </a:solidFill>
            <a:effectLst/>
            <a:latin typeface="Aptos Narrow" panose="020B0004020202020204" pitchFamily="34" charset="0"/>
            <a:ea typeface="+mn-ea"/>
            <a:cs typeface="+mn-cs"/>
          </a:endParaRPr>
        </a:p>
        <a:p>
          <a:r>
            <a:rPr lang="en-US" sz="1300">
              <a:solidFill>
                <a:schemeClr val="dk1"/>
              </a:solidFill>
              <a:effectLst/>
              <a:latin typeface="Aptos Narrow" panose="020B0004020202020204" pitchFamily="34" charset="0"/>
              <a:ea typeface="+mn-ea"/>
              <a:cs typeface="+mn-cs"/>
            </a:rPr>
            <a:t>Acronyms/Abbreviations:</a:t>
          </a:r>
        </a:p>
        <a:p>
          <a:r>
            <a:rPr lang="en-US" sz="1300">
              <a:solidFill>
                <a:schemeClr val="dk1"/>
              </a:solidFill>
              <a:effectLst/>
              <a:latin typeface="Aptos Narrow" panose="020B0004020202020204" pitchFamily="34" charset="0"/>
              <a:ea typeface="+mn-ea"/>
              <a:cs typeface="+mn-cs"/>
            </a:rPr>
            <a:t>• HMIS: Homelessness Management Information System</a:t>
          </a:r>
        </a:p>
        <a:p>
          <a:r>
            <a:rPr lang="en-US" sz="1300">
              <a:solidFill>
                <a:schemeClr val="dk1"/>
              </a:solidFill>
              <a:effectLst/>
              <a:latin typeface="Aptos Narrow" panose="020B0004020202020204" pitchFamily="34" charset="0"/>
              <a:ea typeface="+mn-ea"/>
              <a:cs typeface="+mn-cs"/>
            </a:rPr>
            <a:t>• VSP: Victim</a:t>
          </a:r>
          <a:r>
            <a:rPr lang="en-US" sz="1300" baseline="0">
              <a:solidFill>
                <a:schemeClr val="dk1"/>
              </a:solidFill>
              <a:effectLst/>
              <a:latin typeface="Aptos Narrow" panose="020B0004020202020204" pitchFamily="34" charset="0"/>
              <a:ea typeface="+mn-ea"/>
              <a:cs typeface="+mn-cs"/>
            </a:rPr>
            <a:t> Service Provider</a:t>
          </a:r>
        </a:p>
        <a:p>
          <a:r>
            <a:rPr lang="en-US" sz="1300">
              <a:solidFill>
                <a:schemeClr val="dk1"/>
              </a:solidFill>
              <a:effectLst/>
              <a:latin typeface="Aptos Narrow" panose="020B0004020202020204" pitchFamily="34" charset="0"/>
              <a:ea typeface="+mn-ea"/>
              <a:cs typeface="+mn-cs"/>
            </a:rPr>
            <a:t>• DV:</a:t>
          </a:r>
          <a:r>
            <a:rPr lang="en-US" sz="1300" baseline="0">
              <a:solidFill>
                <a:schemeClr val="dk1"/>
              </a:solidFill>
              <a:effectLst/>
              <a:latin typeface="Aptos Narrow" panose="020B0004020202020204" pitchFamily="34" charset="0"/>
              <a:ea typeface="+mn-ea"/>
              <a:cs typeface="+mn-cs"/>
            </a:rPr>
            <a:t> Beds for Survivors of Domestic Violence</a:t>
          </a:r>
        </a:p>
        <a:p>
          <a:r>
            <a:rPr lang="en-US" sz="1300">
              <a:solidFill>
                <a:schemeClr val="dk1"/>
              </a:solidFill>
              <a:effectLst/>
              <a:latin typeface="Aptos Narrow" panose="020B0004020202020204" pitchFamily="34" charset="0"/>
              <a:ea typeface="+mn-ea"/>
              <a:cs typeface="+mn-cs"/>
            </a:rPr>
            <a:t>• HIV: Beds for Individuals with Human</a:t>
          </a:r>
          <a:r>
            <a:rPr lang="en-US" sz="1300" baseline="0">
              <a:solidFill>
                <a:schemeClr val="dk1"/>
              </a:solidFill>
              <a:effectLst/>
              <a:latin typeface="Aptos Narrow" panose="020B0004020202020204" pitchFamily="34" charset="0"/>
              <a:ea typeface="+mn-ea"/>
              <a:cs typeface="+mn-cs"/>
            </a:rPr>
            <a:t> Immunodeficiency Virus / AIDS</a:t>
          </a:r>
        </a:p>
        <a:p>
          <a:r>
            <a:rPr lang="en-US" sz="1300">
              <a:solidFill>
                <a:schemeClr val="dk1"/>
              </a:solidFill>
              <a:effectLst/>
              <a:latin typeface="Aptos Narrow" panose="020B0004020202020204" pitchFamily="34" charset="0"/>
              <a:ea typeface="+mn-ea"/>
              <a:cs typeface="+mn-cs"/>
            </a:rPr>
            <a:t>• NA: Beds not otherwise designated</a:t>
          </a:r>
          <a:r>
            <a:rPr lang="en-US" sz="1300" baseline="0">
              <a:solidFill>
                <a:schemeClr val="dk1"/>
              </a:solidFill>
              <a:effectLst/>
              <a:latin typeface="Aptos Narrow" panose="020B0004020202020204" pitchFamily="34" charset="0"/>
              <a:ea typeface="+mn-ea"/>
              <a:cs typeface="+mn-cs"/>
            </a:rPr>
            <a:t> as DV or HIV</a:t>
          </a:r>
        </a:p>
        <a:p>
          <a:r>
            <a:rPr lang="en-US" sz="1300">
              <a:solidFill>
                <a:schemeClr val="dk1"/>
              </a:solidFill>
              <a:effectLst/>
              <a:latin typeface="Aptos Narrow" panose="020B0004020202020204" pitchFamily="34" charset="0"/>
              <a:ea typeface="+mn-ea"/>
              <a:cs typeface="+mn-cs"/>
            </a:rPr>
            <a:t>• Comp: Comparable Database Participating</a:t>
          </a:r>
        </a:p>
        <a:p>
          <a:r>
            <a:rPr lang="en-US" sz="1300">
              <a:solidFill>
                <a:schemeClr val="dk1"/>
              </a:solidFill>
              <a:effectLst/>
              <a:latin typeface="Aptos Narrow" panose="020B0004020202020204" pitchFamily="34" charset="0"/>
              <a:ea typeface="+mn-ea"/>
              <a:cs typeface="+mn-cs"/>
            </a:rPr>
            <a:t>• Project Types:</a:t>
          </a:r>
          <a:r>
            <a:rPr lang="en-US" sz="1300" baseline="0">
              <a:solidFill>
                <a:schemeClr val="dk1"/>
              </a:solidFill>
              <a:effectLst/>
              <a:latin typeface="Aptos Narrow" panose="020B0004020202020204" pitchFamily="34" charset="0"/>
              <a:ea typeface="+mn-ea"/>
              <a:cs typeface="+mn-cs"/>
            </a:rPr>
            <a:t> ES: Emergency Shelter; TH: Transitional Housing; SH: Supportive Housing; RRH: Rapid Re-housing; PSH: Permanent Supportive Housing; OPH: Other Permanent Housing</a:t>
          </a:r>
          <a:endParaRPr lang="en-US" sz="1300">
            <a:solidFill>
              <a:schemeClr val="dk1"/>
            </a:solidFill>
            <a:effectLst/>
            <a:latin typeface="Aptos Narrow" panose="020B0004020202020204" pitchFamily="34" charset="0"/>
            <a:ea typeface="+mn-ea"/>
            <a:cs typeface="+mn-cs"/>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A62CE5-8B8B-478C-BB61-638D077851EF}" name="HicRawData" displayName="HicRawData" ref="A1:CP33" totalsRowShown="0" headerRowDxfId="1" dataDxfId="0">
  <autoFilter ref="A1:CP33" xr:uid="{84A62CE5-8B8B-478C-BB61-638D077851EF}"/>
  <sortState xmlns:xlrd2="http://schemas.microsoft.com/office/spreadsheetml/2017/richdata2" ref="A2:CP2">
    <sortCondition sortBy="cellColor" ref="D1:D2" dxfId="883"/>
  </sortState>
  <tableColumns count="94">
    <tableColumn id="1" xr3:uid="{E0450B06-D586-483F-AEF5-D6621516BE77}" name="Row #" dataDxfId="95"/>
    <tableColumn id="2" xr3:uid="{ADADE449-9969-4E54-A3C3-B9CED7A5C27B}" name="CocState" dataDxfId="94"/>
    <tableColumn id="3" xr3:uid="{0D5DA40E-0A53-4513-A9B0-7303AAEABFC6}" name="CoC" dataDxfId="93"/>
    <tableColumn id="4" xr3:uid="{F95E5DC9-2907-4A76-8237-07E05D347C2E}" name="HudNum" dataDxfId="92"/>
    <tableColumn id="5" xr3:uid="{1B86CEC7-9620-46DD-9E91-D6D4701C151A}" name="Status" dataDxfId="91"/>
    <tableColumn id="6" xr3:uid="{12DB60EC-2A2D-4DBD-9156-24A25E9F0E70}" name="Year" dataDxfId="90"/>
    <tableColumn id="7" xr3:uid="{76EE4833-8972-4737-B4D8-3751E29D3FAA}" name="Organization Name" dataDxfId="89"/>
    <tableColumn id="8" xr3:uid="{BEEF6A41-759E-4A1A-9D67-8AA92AEE4873}" name="HMIS Org ID" dataDxfId="88"/>
    <tableColumn id="9" xr3:uid="{5CC52541-56B4-4FBF-8E84-C5276E93CBE1}" name="Project Name" dataDxfId="87"/>
    <tableColumn id="92" xr3:uid="{07F417C5-91CF-4103-9D5C-4B1B889F0E69}" name="Common Name" dataDxfId="86" dataCellStyle="Normal 3"/>
    <tableColumn id="10" xr3:uid="{EC21104A-2370-4825-A12C-422FA081F40F}" name="HMIS Project ID" dataDxfId="85"/>
    <tableColumn id="11" xr3:uid="{4DAFC3C0-3C82-4DD8-AB0E-CE84FF5CC4EF}" name="HIC Date" dataDxfId="84"/>
    <tableColumn id="12" xr3:uid="{55671610-C355-46DE-97FA-41668ECD4F6C}" name="Project Type" dataDxfId="83"/>
    <tableColumn id="13" xr3:uid="{07C3C021-D45D-4D03-AA05-8BC5EB8EEE15}" name="Bed Type" dataDxfId="82"/>
    <tableColumn id="14" xr3:uid="{F4C7CE28-2B8C-456E-8EEF-8CA278A98FD1}" name="Geocode" dataDxfId="81"/>
    <tableColumn id="15" xr3:uid="{ACAAAC2D-B6B1-42FA-B035-CAE13C7594C9}" name="HMIS Participating" dataDxfId="80"/>
    <tableColumn id="16" xr3:uid="{13DC5F1C-72AB-4A9D-AD10-79AE04314236}" name="Inventory Type" dataDxfId="79"/>
    <tableColumn id="17" xr3:uid="{209AA9A8-B753-4E99-9EA3-70D96068FF31}" name="Inventory Start Date" dataDxfId="78"/>
    <tableColumn id="18" xr3:uid="{5AC54FF8-074E-4BA1-A16B-6BB0038EC609}" name="Target Population" dataDxfId="77"/>
    <tableColumn id="94" xr3:uid="{684703FC-2381-400A-84A6-F3B81524BFB4}" name="Operating Start Date" dataDxfId="76"/>
    <tableColumn id="93" xr3:uid="{70B80F9E-16D0-4772-880A-B63E3E3A4EF6}" name="Operating End Date" dataDxfId="75"/>
    <tableColumn id="19" xr3:uid="{DA9E8665-CC96-4100-9D2F-564DA5BBFEA9}" name="mcKinneyVentoEsgEs" dataDxfId="74"/>
    <tableColumn id="20" xr3:uid="{0478B7A6-077E-4108-8A68-CCCA31241104}" name="mcKinneyVentoEsgRrh" dataDxfId="73"/>
    <tableColumn id="21" xr3:uid="{F375A7E6-F112-4E9E-81C2-0C0C0F45C100}" name="mcKinneyVentoEsgCov" dataDxfId="72"/>
    <tableColumn id="22" xr3:uid="{32CBB412-53F5-49B2-9A79-1A09F5B3D94B}" name="mcKinneyVentoEsgRUSH" dataDxfId="71"/>
    <tableColumn id="23" xr3:uid="{73373628-4B9B-4D55-AB68-609A77BA7CF6}" name="mcKinneyVentoCocSh" dataDxfId="70"/>
    <tableColumn id="24" xr3:uid="{3B600D9F-E5CA-45E5-9804-33D2D3CD9EE4}" name="mcKinneyVentoCocTh" dataDxfId="69"/>
    <tableColumn id="25" xr3:uid="{D3534902-788D-4219-9479-A65D437DD901}" name="mcKinneyVentoCocPsh" dataDxfId="68"/>
    <tableColumn id="26" xr3:uid="{9A2B9F3A-6860-40D8-810D-B1822B5B138D}" name="mcKinneyVentoCocRrh" dataDxfId="67"/>
    <tableColumn id="27" xr3:uid="{C0632988-80E4-4FF5-960D-BEACE45A7918}" name="mcKinneyVentoCocSro" dataDxfId="66"/>
    <tableColumn id="28" xr3:uid="{94D6958B-A76D-4D32-9497-2FEBAF76019C}" name="mcKinneyVentoCocThRrh" dataDxfId="65"/>
    <tableColumn id="29" xr3:uid="{666909B7-8BFC-4CB0-9AF9-4FC91E00B5B9}" name="mcKinneyVentoSpC" dataDxfId="64"/>
    <tableColumn id="30" xr3:uid="{D4043FDD-35F9-4354-9268-4F2E27FE46A2}" name="mcKinneyVentoS8" dataDxfId="63"/>
    <tableColumn id="31" xr3:uid="{56D1B4D2-23BC-41DA-B77D-BE208D67011A}" name="mcKinneyVentoShp" dataDxfId="62"/>
    <tableColumn id="32" xr3:uid="{493C9E1B-1966-4A35-99BE-4758AA451F4A}" name="mcKinneyVentoYhdp" dataDxfId="61"/>
    <tableColumn id="33" xr3:uid="{CF03839F-B12F-464C-9E71-BAAAA023AF66}" name="mcKinneyVentoYhdpRenewals" dataDxfId="60"/>
    <tableColumn id="34" xr3:uid="{0A364BA6-14DA-4024-9D28-0523A0D62DD5}" name="mcKinneyVentoUnshelt" dataDxfId="59"/>
    <tableColumn id="35" xr3:uid="{4669BDFE-17F4-4883-B37C-74C9235BA272}" name="mcKinneyVentoRural" dataDxfId="58"/>
    <tableColumn id="36" xr3:uid="{A25EA40A-6B2B-4AEC-A24B-51BB2FD28125}" name="federalFundingVash" dataDxfId="57"/>
    <tableColumn id="37" xr3:uid="{91CD31A0-4ED6-4E21-9C8C-7CC29D00C912}" name="federalFundingSsvf" dataDxfId="56"/>
    <tableColumn id="38" xr3:uid="{55736CE8-CD77-451C-B910-E93EBB27092A}" name="federalFundingGpdBh" dataDxfId="55"/>
    <tableColumn id="39" xr3:uid="{B73EE8C3-B0CB-4888-895E-67CA01C4D290}" name="federalFundingGpdLd" dataDxfId="54"/>
    <tableColumn id="40" xr3:uid="{9EA17854-F1FE-4267-B069-E966B00E27E9}" name="federalFundingGpdHh" dataDxfId="53"/>
    <tableColumn id="41" xr3:uid="{302CB8AB-4AD0-46C9-AB3A-67FDB1206CE7}" name="federalFundingGpdCt" dataDxfId="52"/>
    <tableColumn id="42" xr3:uid="{20890D18-B554-49AA-8D98-8E8A0733D011}" name="federalFundingGpdSith" dataDxfId="51"/>
    <tableColumn id="43" xr3:uid="{912079A1-5085-4D55-ACC4-DF71B10A2402}" name="federalFundingGpdTp" dataDxfId="50"/>
    <tableColumn id="44" xr3:uid="{16F494DF-00AD-4BAD-8C32-49A50E6BC42E}" name="federalFundingHchvCrs" dataDxfId="49"/>
    <tableColumn id="45" xr3:uid="{CEA84F57-EAC2-4549-9B91-EEB05697C99A}" name="federalFundingHchvSh" dataDxfId="48"/>
    <tableColumn id="46" xr3:uid="{24EA7582-E8F9-4960-9FB9-72929DA73DB5}" name="federalFundingBcp" dataDxfId="47"/>
    <tableColumn id="47" xr3:uid="{30602176-D03B-45FE-BFD4-111A3633F177}" name="federalFundingMgh" dataDxfId="46"/>
    <tableColumn id="48" xr3:uid="{414D94D2-C16A-402A-A8AE-EF48F4DC8D24}" name="federalFundingTlp" dataDxfId="45"/>
    <tableColumn id="49" xr3:uid="{88516C71-C25B-4A2D-9067-8674EEF50E3B}" name="federalFundingRhyDp" dataDxfId="44"/>
    <tableColumn id="50" xr3:uid="{C58DEE31-49E9-4881-AD99-856E3BDE5881}" name="federalFundingHopwaHmv" dataDxfId="43"/>
    <tableColumn id="51" xr3:uid="{8E91FFAC-25E7-45E8-8693-84B6A712CB8E}" name="federalFundingHopwaPh" dataDxfId="42"/>
    <tableColumn id="52" xr3:uid="{23D234B4-4F1C-45C7-8241-68231F0E2583}" name="federalFundingHopwaStsf" dataDxfId="41"/>
    <tableColumn id="53" xr3:uid="{5FAF4999-DBC1-4E6E-91D1-3D656CAAF614}" name="federalFundingHopwaTh" dataDxfId="40"/>
    <tableColumn id="54" xr3:uid="{21BE59A2-E253-4368-824B-0DD70AFC355B}" name="federalFundingHopwaCovid" dataDxfId="39"/>
    <tableColumn id="55" xr3:uid="{9F78B3DB-BDA0-46C6-B7F2-4633D607EBEF}" name="federalFundingPih" dataDxfId="38"/>
    <tableColumn id="56" xr3:uid="{B8981646-F6B2-4BEA-9363-6860E04CEB22}" name="federalFundingIndianEhv" dataDxfId="37"/>
    <tableColumn id="57" xr3:uid="{93CB7CC0-29BD-440D-BA52-5F0CB8F6CAF6}" name="federalFundingHome" dataDxfId="36"/>
    <tableColumn id="58" xr3:uid="{865C6C0F-A2D6-4A0B-B2AE-89645926FF51}" name="federalFundingHomeArp" dataDxfId="35"/>
    <tableColumn id="59" xr3:uid="{DA11C109-ECBE-4355-BF08-C9C9B36D4DBB}" name="federalFundingOther" dataDxfId="34"/>
    <tableColumn id="60" xr3:uid="{B62E481E-DF1C-42B4-B452-273F0D166952}" name="federalFundingOtherSpecify" dataDxfId="33"/>
    <tableColumn id="61" xr3:uid="{A8BB6A6C-E66B-4A88-9223-E21187B43423}" name="Housing Type" dataDxfId="32"/>
    <tableColumn id="62" xr3:uid="{DAD2AAA0-25C2-402A-856C-A8D921D8C2DF}" name="Victim Service Provider" dataDxfId="31"/>
    <tableColumn id="63" xr3:uid="{BB7D98DC-135F-491A-BBA4-ACD5D8F9985B}" name="address1" dataDxfId="30"/>
    <tableColumn id="64" xr3:uid="{B6F5A178-39D2-4AAA-BB1D-3F61902F4A96}" name="address2" dataDxfId="29"/>
    <tableColumn id="65" xr3:uid="{7B324FEF-CD41-48DD-9067-1DC6B0FBF5B6}" name="city" dataDxfId="28"/>
    <tableColumn id="66" xr3:uid="{8E1BCED6-DC40-4A2D-8372-F760D4A8E19F}" name="state" dataDxfId="27"/>
    <tableColumn id="67" xr3:uid="{C0DEB76E-ED67-4C3D-B558-BD3F71642DA3}" name="zip" dataDxfId="26"/>
    <tableColumn id="68" xr3:uid="{ED8D601C-E94D-4400-971F-CE0DDFA1D3F2}" name="Beds HH w/ Children" dataDxfId="25"/>
    <tableColumn id="69" xr3:uid="{14095EEB-2120-49F7-9727-5A52E4C030D8}" name="Units HH w/ Children" dataDxfId="24"/>
    <tableColumn id="70" xr3:uid="{0D2A86C1-6113-4BC8-9DCE-5E7C8CBEA60B}" name="Veteran Beds HH w/ Children" dataDxfId="23"/>
    <tableColumn id="71" xr3:uid="{5750CC08-FF28-43BB-86D4-DE864BF10B05}" name="Youth Beds HH w/ Children" dataDxfId="22"/>
    <tableColumn id="72" xr3:uid="{D1640A5C-E9D5-4587-8F41-10B37DBFEE80}" name="CH Beds HH w/ Children" dataDxfId="21"/>
    <tableColumn id="73" xr3:uid="{538AEFCD-7374-4BCC-8978-76F12FDE0898}" name="Beds HH w/o Children" dataDxfId="20"/>
    <tableColumn id="74" xr3:uid="{61579C4B-C8A1-4BBA-91F5-7210EA04663E}" name="Veteran Beds HH w/o Children" dataDxfId="19"/>
    <tableColumn id="75" xr3:uid="{746724B7-3679-4769-8B25-B28DEF6BFC7C}" name="Youth Beds HH w/o Children" dataDxfId="18"/>
    <tableColumn id="76" xr3:uid="{B4A11931-0021-4DDA-B215-7F6AA6311FFF}" name="CH Beds HH w/o Children" dataDxfId="17"/>
    <tableColumn id="77" xr3:uid="{FD9A4F29-7914-4742-A759-73EEC2F9E1F3}" name="Beds HH w/ only Children" dataDxfId="16"/>
    <tableColumn id="78" xr3:uid="{0EA49B8B-D6B3-4AB6-AF2B-14EEDAA7DDD8}" name="CH Beds HH w only Children" dataDxfId="15"/>
    <tableColumn id="79" xr3:uid="{D58B3EC1-589C-40A3-917C-727B6498E1E8}" name="Year-Round Beds" dataDxfId="14"/>
    <tableColumn id="80" xr3:uid="{69968EDC-642F-4200-961A-0E7B9707CD8E}" name="Total Seasonal Beds" dataDxfId="13"/>
    <tableColumn id="81" xr3:uid="{9265DE24-D873-48BE-B78F-C970ACED5F2F}" name="Availability Start Date" dataDxfId="12"/>
    <tableColumn id="82" xr3:uid="{7C933821-3976-4BAC-AF30-468B714979D3}" name="Availability End Date" dataDxfId="11"/>
    <tableColumn id="83" xr3:uid="{8B2C7A6A-7466-4CCE-905E-B5B2B0356DCC}" name="O/V Beds" dataDxfId="10"/>
    <tableColumn id="84" xr3:uid="{36B2D3D9-0F9D-409A-BD94-FCE3DF8128D3}" name="Pit Count" dataDxfId="9"/>
    <tableColumn id="85" xr3:uid="{0E8B51F4-7B6C-4415-A26C-AD363BA7BB5A}" name="Total Beds" dataDxfId="8"/>
    <tableColumn id="86" xr3:uid="{DD724397-63C6-4A27-A05E-A484DA26A420}" name="Updated On" dataDxfId="7"/>
    <tableColumn id="87" xr3:uid="{A1CF9AA3-CED5-423D-B452-7D4EDF24B39E}" name="notes" dataDxfId="6"/>
    <tableColumn id="88" xr3:uid="{05DEB58F-71A8-47CE-AED4-77814FDEE39D}" name="projectNotes" dataDxfId="5"/>
    <tableColumn id="89" xr3:uid="{28DA5FDA-AEAA-4B36-93F0-EE5A448DFD18}" name="sandyRelated" dataDxfId="4"/>
    <tableColumn id="90" xr3:uid="{8D50BD9F-70D9-4D8D-832F-DD9BD2DFD312}" name="sandyRelatedNote" dataDxfId="3"/>
    <tableColumn id="91" xr3:uid="{7B9E6A13-8316-49A4-B25C-EDE10E7BCA6C}" name="HOPWAMedAssistedLivingFac" dataDxfId="2"/>
  </tableColumns>
  <tableStyleInfo name="HDXTableStyle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6BC4F77-FA8D-4395-8E6F-E3E7B15D3EC1}" name="ES_NonVspHmisParticipation" displayName="ES_NonVspHmisParticipation" ref="A13:E17" totalsRowCount="1" headerRowDxfId="786" dataDxfId="785" totalsRowDxfId="784">
  <tableColumns count="5">
    <tableColumn id="1" xr3:uid="{42395AB0-CC7D-47CC-8148-5D0CCEE1A4F7}" name="Non-VSP* Beds by HMIS Participation" totalsRowLabel="Total" dataDxfId="783" totalsRowDxfId="782"/>
    <tableColumn id="2" xr3:uid="{E922D8E4-4E97-4FFF-B2FA-E21D5013B776}" name="Households without Children" totalsRowFunction="sum" dataDxfId="781" totalsRowDxfId="780"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657C63C6-834D-44CB-A019-3C71662A727F}" name="Households with Children" totalsRowFunction="sum" dataDxfId="779" totalsRowDxfId="778"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A42FE549-D76E-48FD-A9A9-D7127EC57B90}" name="Households with only Children" totalsRowFunction="sum" dataDxfId="777" totalsRowDxfId="776"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EE079FEA-BA1A-4232-9262-205CACF72ABF}" name="Total Year-Round Beds" totalsRowFunction="sum" dataDxfId="775" totalsRowDxfId="774" dataCellStyle="0DecWComma&amp;0" totalsRowCellStyle="0DecWComma&amp;0">
      <calculatedColumnFormula>SUM(ES_NonVspHmisParticipation[[#This Row],[Households without Children]:[Households with only Children]])</calculatedColumnFormula>
    </tableColumn>
  </tableColumns>
  <tableStyleInfo name="HDXTableStyle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3FFD55A-A09A-42BC-B213-AE335B91A1BB}" name="ES_TargetPopulation" displayName="ES_TargetPopulation" ref="A20:E24" totalsRowCount="1" headerRowDxfId="773" dataDxfId="772" totalsRowDxfId="771">
  <tableColumns count="5">
    <tableColumn id="1" xr3:uid="{92F5A91A-14A2-489F-B977-2AEFF22079F4}" name="Beds by Target Population" totalsRowLabel="Total" dataDxfId="770" totalsRowDxfId="769"/>
    <tableColumn id="2" xr3:uid="{CEE1D2E5-E285-4EFB-B1BC-494C0D5330B3}" name="Households without Children" totalsRowFunction="sum" dataDxfId="768" totalsRowDxfId="767" dataCellStyle="0DecWComma&amp;0">
      <calculatedColumnFormula>SUMIFS(HicRawData[Beds HH w/o Children],
HicRawData[Project Type],$I$2,
HicRawData[Inventory Type],"C",
HicRawData[Target Population],ES_TargetPopulation[[#This Row],[Beds by Target Population]])</calculatedColumnFormula>
    </tableColumn>
    <tableColumn id="3" xr3:uid="{ED284F8C-62D4-4C65-8BCB-49E11CA7B766}" name="Households with Children" totalsRowFunction="sum" dataDxfId="766" totalsRowDxfId="765" dataCellStyle="0DecWComma&amp;0">
      <calculatedColumnFormula>SUMIFS(HicRawData[Beds HH w/ Children],
HicRawData[Project Type],$I$2,
HicRawData[Inventory Type],"C",
HicRawData[Target Population],ES_TargetPopulation[[#This Row],[Beds by Target Population]])</calculatedColumnFormula>
    </tableColumn>
    <tableColumn id="4" xr3:uid="{88BD4691-9165-41E8-99E4-CE3EF591BCE4}" name="Households with only Children" totalsRowFunction="sum" dataDxfId="764" totalsRowDxfId="763" dataCellStyle="0DecWComma&amp;0">
      <calculatedColumnFormula>SUMIFS(HicRawData[Beds HH w/ only Children],
HicRawData[Project Type],$I$2,
HicRawData[Inventory Type],"C",
HicRawData[Target Population],ES_TargetPopulation[[#This Row],[Beds by Target Population]])</calculatedColumnFormula>
    </tableColumn>
    <tableColumn id="5" xr3:uid="{FA48B494-91FD-4F42-B7EA-2C4921460E90}" name="Total Year-Round Beds" totalsRowFunction="sum" dataDxfId="762" totalsRowDxfId="761" dataCellStyle="0DecWComma&amp;0">
      <calculatedColumnFormula>SUM(ES_TargetPopulation[[#This Row],[Households without Children]:[Households with only Children]])</calculatedColumnFormula>
    </tableColumn>
  </tableColumns>
  <tableStyleInfo name="HDXTableStyle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8DB02CA-9519-440C-B5ED-6B405341C209}" name="ES_InventoryType" displayName="ES_InventoryType" ref="A26:E29" totalsRowCount="1" headerRowDxfId="760" dataDxfId="759" totalsRowDxfId="758">
  <tableColumns count="5">
    <tableColumn id="1" xr3:uid="{07801627-5DF0-42B6-A94E-6256D058A086}" name="Beds by Inventory Type" totalsRowLabel="Total" dataDxfId="757" totalsRowDxfId="756"/>
    <tableColumn id="2" xr3:uid="{CC3835AA-8C49-4362-97F7-9179830907EE}" name="Households without Children" totalsRowFunction="sum" dataDxfId="755" totalsRowDxfId="754" dataCellStyle="0DecWComma&amp;0">
      <calculatedColumnFormula>SUMIFS(HicRawData[Beds HH w/o Children],
HicRawData[Project Type],$I$2,
HicRawData[Inventory Type],$I27)</calculatedColumnFormula>
    </tableColumn>
    <tableColumn id="3" xr3:uid="{571C5478-C29D-45AB-AC1F-7C559438D30B}" name="Households with Children" totalsRowFunction="sum" dataDxfId="753" totalsRowDxfId="752" dataCellStyle="0DecWComma&amp;0">
      <calculatedColumnFormula>SUMIFS(HicRawData[Beds HH w/ Children],
HicRawData[Project Type],$I$2,
HicRawData[Inventory Type],$I27)</calculatedColumnFormula>
    </tableColumn>
    <tableColumn id="4" xr3:uid="{16BCB212-174D-4E61-9EFE-68A3D6F169DA}" name="Households with only Children" totalsRowFunction="sum" dataDxfId="751" totalsRowDxfId="750" dataCellStyle="0DecWComma&amp;0">
      <calculatedColumnFormula>SUMIFS(HicRawData[Beds HH w/ only Children],
HicRawData[Project Type],$I$2,
HicRawData[Inventory Type],$I27)</calculatedColumnFormula>
    </tableColumn>
    <tableColumn id="5" xr3:uid="{B1381B1A-C493-4925-8F55-37A42BC23312}" name="Total Year-Round Beds" totalsRowFunction="sum" dataDxfId="749" totalsRowDxfId="748" dataCellStyle="0DecWComma&amp;0">
      <calculatedColumnFormula>SUM(ES_InventoryType[[#This Row],[Households without Children]:[Households with only Children]])</calculatedColumnFormula>
    </tableColumn>
  </tableColumns>
  <tableStyleInfo name="HDXTableStyle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8BD0F1E-0637-412E-84A3-32EA7BD5F4BB}" name="ES_ProjectType" displayName="ES_ProjectType" ref="A37:E44" totalsRowCount="1" headerRowDxfId="747" dataDxfId="746">
  <tableColumns count="5">
    <tableColumn id="1" xr3:uid="{406D7E57-FD40-4BAE-9263-CB493A522A1F}" name="All Beds by Project Type" totalsRowLabel="Total" dataDxfId="745" totalsRowDxfId="744"/>
    <tableColumn id="2" xr3:uid="{68288804-10D1-4F56-A996-9A1E3C0DAE35}" name="Households without Children" totalsRowFunction="sum" dataDxfId="743" totalsRowDxfId="742" dataCellStyle="0DecWComma&amp;0">
      <calculatedColumnFormula>SUMIFS(HicRawData[Beds HH w/o Children],
HicRawData[Project Type],$I$2,
HicRawData[Inventory Type],"C",
HicRawData[Project Type], ES_ProjectType[[#This Row],[All Beds by Project Type]])</calculatedColumnFormula>
    </tableColumn>
    <tableColumn id="3" xr3:uid="{40462EA0-6A14-461C-BAD7-00A597F934C3}" name="Households with Children" totalsRowFunction="sum" dataDxfId="741" totalsRowDxfId="740" dataCellStyle="0DecWComma&amp;0">
      <calculatedColumnFormula>SUMIFS(HicRawData[Beds HH w/ Children],
HicRawData[Project Type],$I$2,
HicRawData[Inventory Type],"C",
HicRawData[Project Type], ES_ProjectType[[#This Row],[All Beds by Project Type]])</calculatedColumnFormula>
    </tableColumn>
    <tableColumn id="4" xr3:uid="{6604FB60-5C48-4A4C-93CD-E78FF4702728}" name="Households with only Children" totalsRowFunction="sum" dataDxfId="739" totalsRowDxfId="738" dataCellStyle="0DecWComma&amp;0">
      <calculatedColumnFormula>SUMIFS(HicRawData[Beds HH w/ only Children],
HicRawData[Project Type],$I$2,
HicRawData[Inventory Type],"C",
HicRawData[Project Type], ES_ProjectType[[#This Row],[All Beds by Project Type]])</calculatedColumnFormula>
    </tableColumn>
    <tableColumn id="5" xr3:uid="{426B82BF-B748-48BC-8F1C-F44B3E25FB46}" name="Total Year-Round Beds" totalsRowFunction="sum" dataDxfId="737" totalsRowDxfId="736" dataCellStyle="0DecWComma&amp;0">
      <calculatedColumnFormula>SUM(ES_ProjectType[[#This Row],[Households without Children]:[Households with only Children]])</calculatedColumnFormula>
    </tableColumn>
  </tableColumns>
  <tableStyleInfo name="HDXTableStyle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242791C-647E-4247-A9EF-E95EF2EAB5EC}" name="ES_ProjectTypeHmisParticipation" displayName="ES_ProjectTypeHmisParticipation" ref="A46:E53" totalsRowCount="1" headerRowDxfId="735" dataDxfId="734">
  <tableColumns count="5">
    <tableColumn id="1" xr3:uid="{05BD3EDA-FC2F-4FB2-8686-EBE164DE580A}" name="HMIS Beds by Project Type" totalsRowLabel="Total" dataDxfId="733" totalsRowDxfId="732"/>
    <tableColumn id="2" xr3:uid="{5025B725-3FDB-4F38-BA0B-0713B322EFFF}" name="Households without Children" totalsRowFunction="sum" dataDxfId="731" totalsRowDxfId="730" dataCellStyle="0DecWComma&amp;0" totalsRowCellStyle="0DecWComma&amp;0">
      <calculatedColumnFormula>SUMIFS(HicRawData[Beds HH w/o Children],
HicRawData[Project Type],$I$2,
HicRawData[Inventory Type],"C",
HicRawData[Project Type], ES_ProjectTypeHmisParticipation[[#This Row],[HMIS Beds by Project Type]],
HicRawData[HMIS Participating], "Yes")</calculatedColumnFormula>
    </tableColumn>
    <tableColumn id="3" xr3:uid="{58C63F98-A270-4B45-B008-94635B717AD4}" name="Households with Children" totalsRowFunction="sum" dataDxfId="729" totalsRowDxfId="728" dataCellStyle="0DecWComma&amp;0" totalsRowCellStyle="0DecWComma&amp;0">
      <calculatedColumnFormula>SUMIFS(HicRawData[Beds HH w/ Children],
HicRawData[Project Type],$I$2,
HicRawData[Inventory Type],"C",
HicRawData[Project Type], ES_ProjectTypeHmisParticipation[[#This Row],[HMIS Beds by Project Type]],
HicRawData[HMIS Participating], "Yes")</calculatedColumnFormula>
    </tableColumn>
    <tableColumn id="4" xr3:uid="{9C7612C2-1607-456C-8631-E3BF6B1DB148}" name="Households with only Children" totalsRowFunction="sum" dataDxfId="727" totalsRowDxfId="726" dataCellStyle="0DecWComma&amp;0" totalsRowCellStyle="0DecWComma&amp;0">
      <calculatedColumnFormula>SUMIFS(HicRawData[Beds HH w/ only Children],
HicRawData[Project Type],$I$2,
HicRawData[Inventory Type],"C",
HicRawData[Project Type], ES_ProjectTypeHmisParticipation[[#This Row],[HMIS Beds by Project Type]],
HicRawData[HMIS Participating], "Yes")</calculatedColumnFormula>
    </tableColumn>
    <tableColumn id="5" xr3:uid="{619DA28D-3E8C-4C13-A424-3D4F562791B1}" name="Total Year-Round Beds" totalsRowFunction="sum" totalsRowDxfId="725" dataCellStyle="0DecWComma&amp;0" totalsRowCellStyle="0DecWComma&amp;0">
      <calculatedColumnFormula>B47+C47+D47</calculatedColumnFormula>
    </tableColumn>
  </tableColumns>
  <tableStyleInfo name="HDXTableStyle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93184CA-2D19-410C-9036-A6616FD8846D}" name="ES_SeasonalOverflow" displayName="ES_SeasonalOverflow" ref="A31:C35" totalsRowCount="1" headerRowDxfId="724" dataDxfId="723">
  <tableColumns count="3">
    <tableColumn id="1" xr3:uid="{E014FB97-D184-4CA0-A1F9-4F9113107158}" name="Seasonal/Overflow Beds" totalsRowLabel="Total" dataDxfId="722" totalsRowDxfId="721"/>
    <tableColumn id="2" xr3:uid="{E37AAB66-0D6D-488D-A1B9-2363E32750A4}" name="Total Seasonal Beds (Regardless of Availability)" totalsRowFunction="sum" dataDxfId="720" totalsRowDxfId="719" dataCellStyle="0DecWComma&amp;0" totalsRowCellStyle="0DecWComma&amp;0">
      <calculatedColumnFormula>SUMIFS(HicRawData[Total Seasonal Beds],
HicRawData[Project Type],$I$2,
HicRawData[Inventory Type],"C",
HicRawData[HMIS Participating],$I32)</calculatedColumnFormula>
    </tableColumn>
    <tableColumn id="3" xr3:uid="{3837033C-D7C9-4F13-913C-600BC3F17A86}" name="Total Overflow Beds" totalsRowFunction="sum" dataDxfId="718" totalsRowDxfId="717" dataCellStyle="0DecWComma&amp;0" totalsRowCellStyle="0DecWComma&amp;0">
      <calculatedColumnFormula>SUMIFS(HicRawData[O/V Beds],
HicRawData[Project Type],$I$2,
HicRawData[Inventory Type],"C",
HicRawData[HMIS Participating],$I32)</calculatedColumnFormula>
    </tableColumn>
  </tableColumns>
  <tableStyleInfo name="HDXTableStyle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589DB6D-FFFB-42D7-AB52-85D837977A52}" name="TH_HmisParticipation" displayName="TH_HmisParticipation" ref="A6:E10" totalsRowCount="1" headerRowDxfId="716" dataDxfId="715" totalsRowDxfId="714">
  <tableColumns count="5">
    <tableColumn id="1" xr3:uid="{C03420FB-B8CE-4942-A6FF-197E4B984F11}" name="Beds by HMIS Participation" totalsRowLabel="Total" dataDxfId="713" totalsRowDxfId="712"/>
    <tableColumn id="2" xr3:uid="{BCFC16E2-775B-4E2C-9FB1-7565017D0A3A}" name="Households without Children" totalsRowFunction="sum" dataDxfId="711" totalsRowDxfId="710" dataCellStyle="0DecWComma&amp;0" totalsRowCellStyle="0DecWComma&amp;0">
      <calculatedColumnFormula>SUMIFS(HicRawData[Beds HH w/o Children],
HicRawData[Project Type],$I$2,
HicRawData[Inventory Type],"C",
HicRawData[HMIS Participating],$I7)</calculatedColumnFormula>
    </tableColumn>
    <tableColumn id="3" xr3:uid="{B0C4A8E8-636C-4FF5-978F-A841A425CE70}" name="Households with Children" totalsRowFunction="sum" dataDxfId="709" totalsRowDxfId="708" dataCellStyle="0DecWComma&amp;0" totalsRowCellStyle="0DecWComma&amp;0">
      <calculatedColumnFormula>SUMIFS(HicRawData[Beds HH w/ Children],
HicRawData[Project Type],$I$2,
HicRawData[Inventory Type],"C",
HicRawData[HMIS Participating],$I7)</calculatedColumnFormula>
    </tableColumn>
    <tableColumn id="4" xr3:uid="{FC9286B8-BD08-473A-90E0-2D7530DA1651}" name="Households with only Children" totalsRowFunction="sum" dataDxfId="707" totalsRowDxfId="706" dataCellStyle="0DecWComma&amp;0" totalsRowCellStyle="0DecWComma&amp;0">
      <calculatedColumnFormula>SUMIFS(HicRawData[Beds HH w/ only Children],
HicRawData[Project Type],$I$2,
HicRawData[Inventory Type],"C",
HicRawData[HMIS Participating],$I7)</calculatedColumnFormula>
    </tableColumn>
    <tableColumn id="5" xr3:uid="{F3D4CFF2-E34E-4728-803E-BB6AF44A9E63}" name="Total Year-Round Beds" totalsRowFunction="sum" dataDxfId="705" totalsRowDxfId="704" dataCellStyle="0DecWComma&amp;0" totalsRowCellStyle="0DecWComma&amp;0">
      <calculatedColumnFormula>SUM(TH_HmisParticipation[[#This Row],[Households without Children]:[Households with only Children]])</calculatedColumnFormula>
    </tableColumn>
  </tableColumns>
  <tableStyleInfo name="HDXTableStyle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95EC9C0-E46B-461F-B461-90687873BF4D}" name="TH_NonVspHmisParticipation" displayName="TH_NonVspHmisParticipation" ref="A13:E17" totalsRowCount="1" headerRowDxfId="703" dataDxfId="702" totalsRowDxfId="701">
  <tableColumns count="5">
    <tableColumn id="1" xr3:uid="{6EA8C233-B416-4C4B-AD4C-2E74E283AD86}" name="Non-VSP* Beds by HMIS Participation" totalsRowLabel="Total" dataDxfId="700" totalsRowDxfId="699"/>
    <tableColumn id="2" xr3:uid="{1F22C374-7E49-4D8A-92A1-FB02BA7A64E3}" name="Households without Children" totalsRowFunction="sum" dataDxfId="698" totalsRowDxfId="697"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11088068-2BE5-437D-B0EA-5F7B5BC20B61}" name="Households with Children" totalsRowFunction="sum" dataDxfId="696" totalsRowDxfId="695"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998E4393-E970-4E84-B4F0-2C02145CFEFB}" name="Households with only Children" totalsRowFunction="sum" dataDxfId="694" totalsRowDxfId="693"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EB6797C8-315C-422A-B592-34561082A76F}" name="Total Year-Round Beds" totalsRowFunction="sum" dataDxfId="692" totalsRowDxfId="691" dataCellStyle="0DecWComma&amp;0" totalsRowCellStyle="0DecWComma&amp;0">
      <calculatedColumnFormula>SUM(TH_NonVspHmisParticipation[[#This Row],[Households without Children]:[Households with only Children]])</calculatedColumnFormula>
    </tableColumn>
  </tableColumns>
  <tableStyleInfo name="HDXTableStyle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0F1D76D-FFEF-4C9B-BF6C-38AB19C05FD8}" name="TH_TargetPopulation" displayName="TH_TargetPopulation" ref="A20:E24" totalsRowCount="1" headerRowDxfId="690" dataDxfId="689" totalsRowDxfId="688">
  <tableColumns count="5">
    <tableColumn id="1" xr3:uid="{03F87AB8-189A-4321-9191-82E5366F24CF}" name="Beds by Target Population" totalsRowLabel="Total" dataDxfId="687" totalsRowDxfId="686"/>
    <tableColumn id="2" xr3:uid="{9B7CE59A-5FC4-4C65-9C5D-DEBF772ABA26}" name="Households without Children" totalsRowFunction="sum" dataDxfId="685" totalsRowDxfId="684" dataCellStyle="0DecWComma&amp;0">
      <calculatedColumnFormula>SUMIFS(HicRawData[Beds HH w/o Children],
HicRawData[Project Type],$I$2,
HicRawData[Inventory Type],"C",
HicRawData[Target Population],TH_TargetPopulation[[#This Row],[Beds by Target Population]])</calculatedColumnFormula>
    </tableColumn>
    <tableColumn id="3" xr3:uid="{14EF0EE7-A517-4659-9EDA-0FE2629AFCD2}" name="Households with Children" totalsRowFunction="sum" dataDxfId="683" totalsRowDxfId="682" dataCellStyle="0DecWComma&amp;0">
      <calculatedColumnFormula>SUMIFS(HicRawData[Beds HH w/ Children],
HicRawData[Project Type],$I$2,
HicRawData[Inventory Type],"C",
HicRawData[Target Population],TH_TargetPopulation[[#This Row],[Beds by Target Population]])</calculatedColumnFormula>
    </tableColumn>
    <tableColumn id="4" xr3:uid="{0D89A7C6-15FD-4D44-9E6A-1814CE9AE1D6}" name="Households with only Children" totalsRowFunction="sum" dataDxfId="681" totalsRowDxfId="680" dataCellStyle="0DecWComma&amp;0">
      <calculatedColumnFormula>SUMIFS(HicRawData[Beds HH w/ only Children],
HicRawData[Project Type],$I$2,
HicRawData[Inventory Type],"C",
HicRawData[Target Population],TH_TargetPopulation[[#This Row],[Beds by Target Population]])</calculatedColumnFormula>
    </tableColumn>
    <tableColumn id="5" xr3:uid="{591330F7-7DB9-4CA8-ABF0-C5A68332312E}" name="Total Year-Round Beds" totalsRowFunction="sum" dataDxfId="679" totalsRowDxfId="678" dataCellStyle="0DecWComma&amp;0">
      <calculatedColumnFormula>SUM(TH_TargetPopulation[[#This Row],[Households without Children]:[Households with only Children]])</calculatedColumnFormula>
    </tableColumn>
  </tableColumns>
  <tableStyleInfo name="HDXTableStyle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B3F014FB-4456-47D5-8F61-A2E846D13762}" name="TH_InventoryType" displayName="TH_InventoryType" ref="A26:E29" totalsRowCount="1" headerRowDxfId="677" dataDxfId="676" totalsRowDxfId="675">
  <tableColumns count="5">
    <tableColumn id="1" xr3:uid="{F90B8545-C597-480F-9529-63E3A1D0A038}" name="Beds by Inventory Type" totalsRowLabel="Total" dataDxfId="674" totalsRowDxfId="673"/>
    <tableColumn id="2" xr3:uid="{900FBF02-D256-4F42-9181-D0C01B4B9F4A}" name="Households without Children" totalsRowFunction="sum" dataDxfId="672" totalsRowDxfId="671" dataCellStyle="0DecWComma&amp;0">
      <calculatedColumnFormula>SUMIFS(HicRawData[Beds HH w/o Children],
HicRawData[Project Type],$I$2,
HicRawData[Inventory Type],$I27)</calculatedColumnFormula>
    </tableColumn>
    <tableColumn id="3" xr3:uid="{25668241-F4C5-4F67-B22F-5A20AAB7E851}" name="Households with Children" totalsRowFunction="sum" dataDxfId="670" totalsRowDxfId="669" dataCellStyle="0DecWComma&amp;0">
      <calculatedColumnFormula>SUMIFS(HicRawData[Beds HH w/ Children],
HicRawData[Project Type],$I$2,
HicRawData[Inventory Type],$I27)</calculatedColumnFormula>
    </tableColumn>
    <tableColumn id="4" xr3:uid="{A812DE07-AFB0-4F61-B582-BEA6CAA05B31}" name="Households with only Children" totalsRowFunction="sum" dataDxfId="668" totalsRowDxfId="667" dataCellStyle="0DecWComma&amp;0">
      <calculatedColumnFormula>SUMIFS(HicRawData[Beds HH w/ only Children],
HicRawData[Project Type],$I$2,
HicRawData[Inventory Type],$I27)</calculatedColumnFormula>
    </tableColumn>
    <tableColumn id="5" xr3:uid="{EA0675CE-FB81-42D9-94E1-8558B82F0E28}" name="Total Year-Round Beds" totalsRowFunction="sum" dataDxfId="666" totalsRowDxfId="665" dataCellStyle="0DecWComma&amp;0">
      <calculatedColumnFormula>SUM(TH_InventoryType[[#This Row],[Households without Children]:[Households with only Children]])</calculatedColumnFormula>
    </tableColumn>
  </tableColumns>
  <tableStyleInfo name="HDXTableStyle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2C1094-40C0-4EA6-B682-720037ED8398}" name="AllBeds_HmisParticipation" displayName="AllBeds_HmisParticipation" ref="A6:E10" totalsRowCount="1" headerRowDxfId="882" dataDxfId="881" totalsRowDxfId="880">
  <tableColumns count="5">
    <tableColumn id="1" xr3:uid="{22FCF09E-84CA-42B0-903C-B27FD5847078}" name="Beds by HMIS Participation" totalsRowLabel="Total" dataDxfId="879" totalsRowDxfId="878"/>
    <tableColumn id="2" xr3:uid="{5C2C40D3-4A88-4385-AB5E-2E4571FF8C01}" name="Households without Children" totalsRowFunction="sum" dataDxfId="877" totalsRowDxfId="876" dataCellStyle="0DecWComma&amp;0" totalsRowCellStyle="0DecWComma&amp;0">
      <calculatedColumnFormula>SUMIFS(HicRawData[Beds HH w/o Children],
HicRawData[Project Type],$I$2,
HicRawData[Inventory Type],"C",
HicRawData[HMIS Participating],$I7)</calculatedColumnFormula>
    </tableColumn>
    <tableColumn id="3" xr3:uid="{FEE83F92-8CB2-4AC8-8C47-2AA06E332444}" name="Households with Children" totalsRowFunction="sum" dataDxfId="875" totalsRowDxfId="874" dataCellStyle="0DecWComma&amp;0" totalsRowCellStyle="0DecWComma&amp;0">
      <calculatedColumnFormula>SUMIFS(HicRawData[Beds HH w/ Children],
HicRawData[Project Type],$I$2,
HicRawData[Inventory Type],"C",
HicRawData[HMIS Participating],$I7)</calculatedColumnFormula>
    </tableColumn>
    <tableColumn id="4" xr3:uid="{6FFD598B-1A8F-4414-BE10-7F48F34707FA}" name="Households with only Children" totalsRowFunction="sum" dataDxfId="873" totalsRowDxfId="872" dataCellStyle="0DecWComma&amp;0" totalsRowCellStyle="0DecWComma&amp;0">
      <calculatedColumnFormula>SUMIFS(HicRawData[Beds HH w/ only Children],
HicRawData[Project Type],$I$2,
HicRawData[Inventory Type],"C",
HicRawData[HMIS Participating],$I7)</calculatedColumnFormula>
    </tableColumn>
    <tableColumn id="5" xr3:uid="{8291C306-527A-4DDF-AB81-A0BC7D3136D8}" name="Total Year-Round Beds" totalsRowFunction="sum" dataDxfId="871" totalsRowDxfId="870" dataCellStyle="0DecWComma&amp;0" totalsRowCellStyle="0DecWComma&amp;0">
      <calculatedColumnFormula>SUM(AllBeds_HmisParticipation[[#This Row],[Households without Children]:[Households with only Children]])</calculatedColumnFormula>
    </tableColumn>
  </tableColumns>
  <tableStyleInfo name="HDXTableStyle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741D6DC-7D4D-492D-9C02-D49C4D45AF72}" name="TH_ProjectType" displayName="TH_ProjectType" ref="A37:E44" totalsRowCount="1" headerRowDxfId="664" dataDxfId="663">
  <tableColumns count="5">
    <tableColumn id="1" xr3:uid="{82D32A4C-E67F-4F9D-96E6-FA885AD15FB6}" name="All Beds by Project Type" totalsRowLabel="Total" dataDxfId="662" totalsRowDxfId="661"/>
    <tableColumn id="2" xr3:uid="{5599AF8E-A202-4A5B-8047-026342874087}" name="Households without Children" totalsRowFunction="sum" dataDxfId="660" totalsRowDxfId="659" dataCellStyle="0DecWComma&amp;0">
      <calculatedColumnFormula>SUMIFS(HicRawData[Beds HH w/o Children],
HicRawData[Project Type],$I$2,
HicRawData[Inventory Type],"C",
HicRawData[Project Type], TH_ProjectType[[#This Row],[All Beds by Project Type]])</calculatedColumnFormula>
    </tableColumn>
    <tableColumn id="3" xr3:uid="{DF0DF6FE-BAFC-4792-975E-19FFCA3C5927}" name="Households with Children" totalsRowFunction="sum" dataDxfId="658" totalsRowDxfId="657" dataCellStyle="0DecWComma&amp;0">
      <calculatedColumnFormula>SUMIFS(HicRawData[Beds HH w/ Children],
HicRawData[Project Type],$I$2,
HicRawData[Inventory Type],"C",
HicRawData[Project Type], TH_ProjectType[[#This Row],[All Beds by Project Type]])</calculatedColumnFormula>
    </tableColumn>
    <tableColumn id="4" xr3:uid="{6172AFEC-82A8-439A-A481-A87DCCD67C45}" name="Households with only Children" totalsRowFunction="sum" dataDxfId="656" totalsRowDxfId="655" dataCellStyle="0DecWComma&amp;0">
      <calculatedColumnFormula>SUMIFS(HicRawData[Beds HH w/ only Children],
HicRawData[Project Type],$I$2,
HicRawData[Inventory Type],"C",
HicRawData[Project Type], TH_ProjectType[[#This Row],[All Beds by Project Type]])</calculatedColumnFormula>
    </tableColumn>
    <tableColumn id="5" xr3:uid="{E998185A-3A6B-48A6-A66A-FA863AE9CAE8}" name="Total Year-Round Beds" totalsRowFunction="sum" dataDxfId="654" totalsRowDxfId="653" dataCellStyle="0DecWComma&amp;0">
      <calculatedColumnFormula>SUM(TH_ProjectType[[#This Row],[Households without Children]:[Households with only Children]])</calculatedColumnFormula>
    </tableColumn>
  </tableColumns>
  <tableStyleInfo name="HDXTableStyle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6164F56-6077-40C1-B5EF-32EA79B438D4}" name="TH_ProjectTypeHmisParticipation" displayName="TH_ProjectTypeHmisParticipation" ref="A46:E53" totalsRowCount="1" headerRowDxfId="652" dataDxfId="651">
  <tableColumns count="5">
    <tableColumn id="1" xr3:uid="{EFDEE470-DE91-4DC6-AD11-544C01BF4348}" name="HMIS Beds by Project Type" totalsRowLabel="Total" dataDxfId="650" totalsRowDxfId="649"/>
    <tableColumn id="2" xr3:uid="{A42936EF-345D-491A-BB59-CB8022B73932}" name="Households without Children" totalsRowFunction="sum" dataDxfId="648" totalsRowDxfId="647" dataCellStyle="0DecWComma&amp;0" totalsRowCellStyle="0DecWComma&amp;0">
      <calculatedColumnFormula>SUMIFS(HicRawData[Beds HH w/o Children],
HicRawData[Project Type],$I$2,
HicRawData[Inventory Type],"C",
HicRawData[Project Type], TH_ProjectTypeHmisParticipation[[#This Row],[HMIS Beds by Project Type]],
HicRawData[HMIS Participating], "Yes")</calculatedColumnFormula>
    </tableColumn>
    <tableColumn id="3" xr3:uid="{DF898687-E9D5-475D-8F1F-8AEE48C1D0AB}" name="Households with Children" totalsRowFunction="sum" dataDxfId="646" totalsRowDxfId="645" dataCellStyle="0DecWComma&amp;0" totalsRowCellStyle="0DecWComma&amp;0">
      <calculatedColumnFormula>SUMIFS(HicRawData[Beds HH w/ Children],
HicRawData[Project Type],$I$2,
HicRawData[Inventory Type],"C",
HicRawData[Project Type], TH_ProjectTypeHmisParticipation[[#This Row],[HMIS Beds by Project Type]],
HicRawData[HMIS Participating], "Yes")</calculatedColumnFormula>
    </tableColumn>
    <tableColumn id="4" xr3:uid="{EEE5ECFC-DA0A-4776-8D9A-AF52C771968F}" name="Households with only Children" totalsRowFunction="sum" dataDxfId="644" totalsRowDxfId="643" dataCellStyle="0DecWComma&amp;0" totalsRowCellStyle="0DecWComma&amp;0">
      <calculatedColumnFormula>SUMIFS(HicRawData[Beds HH w/ only Children],
HicRawData[Project Type],$I$2,
HicRawData[Inventory Type],"C",
HicRawData[Project Type], TH_ProjectTypeHmisParticipation[[#This Row],[HMIS Beds by Project Type]],
HicRawData[HMIS Participating], "Yes")</calculatedColumnFormula>
    </tableColumn>
    <tableColumn id="5" xr3:uid="{AD770990-FF10-4AF3-89CF-880DA3CED035}" name="Total Year-Round Beds" totalsRowFunction="sum" totalsRowDxfId="642" dataCellStyle="0DecWComma&amp;0" totalsRowCellStyle="0DecWComma&amp;0">
      <calculatedColumnFormula>B47+C47+D47</calculatedColumnFormula>
    </tableColumn>
  </tableColumns>
  <tableStyleInfo name="HDXTableStyle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0FE6D5D-B9BF-4F77-9E55-F4207641C393}" name="SH_HmisParticipation" displayName="SH_HmisParticipation" ref="A6:E10" totalsRowCount="1" headerRowDxfId="641" dataDxfId="640" totalsRowDxfId="639">
  <tableColumns count="5">
    <tableColumn id="1" xr3:uid="{852988AB-4CEA-4A6F-BFC9-6A4961178F5A}" name="Beds by HMIS Participation" totalsRowLabel="Total" dataDxfId="638" totalsRowDxfId="637"/>
    <tableColumn id="2" xr3:uid="{478F8ABA-A5D3-4C4E-B2B9-BCC2A3441C77}" name="Households without Children" totalsRowFunction="sum" dataDxfId="636" totalsRowDxfId="635" dataCellStyle="0DecWComma&amp;0" totalsRowCellStyle="0DecWComma&amp;0">
      <calculatedColumnFormula>SUMIFS(HicRawData[Beds HH w/o Children],
HicRawData[Project Type],$I$2,
HicRawData[Inventory Type],"C",
HicRawData[HMIS Participating],$I7)</calculatedColumnFormula>
    </tableColumn>
    <tableColumn id="3" xr3:uid="{21FB94EF-143E-46C8-86D1-4EB35FFAE272}" name="Households with Children" totalsRowFunction="sum" dataDxfId="634" totalsRowDxfId="633" dataCellStyle="0DecWComma&amp;0" totalsRowCellStyle="0DecWComma&amp;0">
      <calculatedColumnFormula>SUMIFS(HicRawData[Beds HH w/ Children],
HicRawData[Project Type],$I$2,
HicRawData[Inventory Type],"C",
HicRawData[HMIS Participating],$I7)</calculatedColumnFormula>
    </tableColumn>
    <tableColumn id="4" xr3:uid="{4CB76CD1-C76F-4031-A991-5176817086DE}" name="Households with only Children" totalsRowFunction="sum" dataDxfId="632" totalsRowDxfId="631" dataCellStyle="0DecWComma&amp;0" totalsRowCellStyle="0DecWComma&amp;0">
      <calculatedColumnFormula>SUMIFS(HicRawData[Beds HH w/ only Children],
HicRawData[Project Type],$I$2,
HicRawData[Inventory Type],"C",
HicRawData[HMIS Participating],$I7)</calculatedColumnFormula>
    </tableColumn>
    <tableColumn id="5" xr3:uid="{3EECA672-0F02-4B10-ACEC-9AC2A10D3A78}" name="Total Year-Round Beds" totalsRowFunction="sum" dataDxfId="630" totalsRowDxfId="629" dataCellStyle="0DecWComma&amp;0" totalsRowCellStyle="0DecWComma&amp;0">
      <calculatedColumnFormula>SUM(SH_HmisParticipation[[#This Row],[Households without Children]:[Households with only Children]])</calculatedColumnFormula>
    </tableColumn>
  </tableColumns>
  <tableStyleInfo name="HDXTableStyle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D48FAD1-0F12-442C-9B69-0308E80DF446}" name="SH_NonVspHmisParticipation" displayName="SH_NonVspHmisParticipation" ref="A13:E17" totalsRowCount="1" headerRowDxfId="628" dataDxfId="627" totalsRowDxfId="626">
  <tableColumns count="5">
    <tableColumn id="1" xr3:uid="{BBBF66A2-03D8-4D85-A509-8AEC8EE643F2}" name="Non-VSP* Beds by HMIS Participation" totalsRowLabel="Total" dataDxfId="625" totalsRowDxfId="624"/>
    <tableColumn id="2" xr3:uid="{B9AFB40A-E3ED-46DD-9635-76550CE0D565}" name="Households without Children" totalsRowFunction="sum" dataDxfId="623" totalsRowDxfId="622"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FF5B2B4A-9C4C-44FB-BD6D-158615890E06}" name="Households with Children" totalsRowFunction="sum" dataDxfId="621" totalsRowDxfId="620"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83D42483-AE9B-4C2B-A9C4-64BF1FA9F8DD}" name="Households with only Children" totalsRowFunction="sum" dataDxfId="619" totalsRowDxfId="618"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256F6962-F064-4FDC-9119-F866F58E6FE4}" name="Total Year-Round Beds" totalsRowFunction="sum" dataDxfId="617" totalsRowDxfId="616" dataCellStyle="0DecWComma&amp;0" totalsRowCellStyle="0DecWComma&amp;0">
      <calculatedColumnFormula>SUM(SH_NonVspHmisParticipation[[#This Row],[Households without Children]:[Households with only Children]])</calculatedColumnFormula>
    </tableColumn>
  </tableColumns>
  <tableStyleInfo name="HDXTableStyle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204D684E-D5A1-40ED-BEE6-A86B518ADC49}" name="SH_TargetPopulation" displayName="SH_TargetPopulation" ref="A20:E24" totalsRowCount="1" headerRowDxfId="615" dataDxfId="614" totalsRowDxfId="613">
  <tableColumns count="5">
    <tableColumn id="1" xr3:uid="{79E1E425-8284-4EF1-807A-06BE4644D781}" name="Beds by Target Population" totalsRowLabel="Total" dataDxfId="612" totalsRowDxfId="611"/>
    <tableColumn id="2" xr3:uid="{BA973895-EB84-4A3B-975B-F97C518FFA09}" name="Households without Children" totalsRowFunction="sum" dataDxfId="610" totalsRowDxfId="609" dataCellStyle="0DecWComma&amp;0">
      <calculatedColumnFormula>SUMIFS(HicRawData[Beds HH w/o Children],
HicRawData[Project Type],$I$2,
HicRawData[Inventory Type],"C",
HicRawData[Target Population],SH_TargetPopulation[[#This Row],[Beds by Target Population]])</calculatedColumnFormula>
    </tableColumn>
    <tableColumn id="3" xr3:uid="{4A90B55C-50EA-4E24-BC47-FA4C167455C8}" name="Households with Children" totalsRowFunction="sum" dataDxfId="608" totalsRowDxfId="607" dataCellStyle="0DecWComma&amp;0">
      <calculatedColumnFormula>SUMIFS(HicRawData[Beds HH w/ Children],
HicRawData[Project Type],$I$2,
HicRawData[Inventory Type],"C",
HicRawData[Target Population],SH_TargetPopulation[[#This Row],[Beds by Target Population]])</calculatedColumnFormula>
    </tableColumn>
    <tableColumn id="4" xr3:uid="{EEDFDC8A-128D-4538-871C-C31FFC6F5D61}" name="Households with only Children" totalsRowFunction="sum" dataDxfId="606" totalsRowDxfId="605" dataCellStyle="0DecWComma&amp;0">
      <calculatedColumnFormula>SUMIFS(HicRawData[Beds HH w/ only Children],
HicRawData[Project Type],$I$2,
HicRawData[Inventory Type],"C",
HicRawData[Target Population],SH_TargetPopulation[[#This Row],[Beds by Target Population]])</calculatedColumnFormula>
    </tableColumn>
    <tableColumn id="5" xr3:uid="{653306A3-0EC2-4BB2-9A85-216B28FE498B}" name="Total Year-Round Beds" totalsRowFunction="sum" dataDxfId="604" totalsRowDxfId="603" dataCellStyle="0DecWComma&amp;0">
      <calculatedColumnFormula>SUM(SH_TargetPopulation[[#This Row],[Households without Children]:[Households with only Children]])</calculatedColumnFormula>
    </tableColumn>
  </tableColumns>
  <tableStyleInfo name="HDXTableStyle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0927B9A-D8B2-49AE-B981-87DB74536522}" name="SH_InventoryType" displayName="SH_InventoryType" ref="A26:E29" totalsRowCount="1" headerRowDxfId="602" dataDxfId="601" totalsRowDxfId="600">
  <tableColumns count="5">
    <tableColumn id="1" xr3:uid="{B21895A1-E344-49F8-9E62-9BAAEFD700FF}" name="Beds by Inventory Type" totalsRowLabel="Total" dataDxfId="599" totalsRowDxfId="598"/>
    <tableColumn id="2" xr3:uid="{960E22E6-B4A3-4CDC-9129-4EE45AC360B1}" name="Households without Children" totalsRowFunction="sum" dataDxfId="597" totalsRowDxfId="596" dataCellStyle="0DecWComma&amp;0">
      <calculatedColumnFormula>SUMIFS(HicRawData[Beds HH w/o Children],
HicRawData[Project Type],$I$2,
HicRawData[Inventory Type],$I27)</calculatedColumnFormula>
    </tableColumn>
    <tableColumn id="3" xr3:uid="{A672B474-CBEA-4025-BEAE-023D25A18A91}" name="Households with Children" totalsRowFunction="sum" dataDxfId="595" totalsRowDxfId="594" dataCellStyle="0DecWComma&amp;0">
      <calculatedColumnFormula>SUMIFS(HicRawData[Beds HH w/ Children],
HicRawData[Project Type],$I$2,
HicRawData[Inventory Type],$I27)</calculatedColumnFormula>
    </tableColumn>
    <tableColumn id="4" xr3:uid="{ED6FF62D-4443-463B-891F-EC9523E3F6C1}" name="Households with only Children" totalsRowFunction="sum" dataDxfId="593" totalsRowDxfId="592" dataCellStyle="0DecWComma&amp;0">
      <calculatedColumnFormula>SUMIFS(HicRawData[Beds HH w/ only Children],
HicRawData[Project Type],$I$2,
HicRawData[Inventory Type],$I27)</calculatedColumnFormula>
    </tableColumn>
    <tableColumn id="5" xr3:uid="{31D5A63B-FBEE-49B1-A683-0A26858A4EC4}" name="Total Year-Round Beds" totalsRowFunction="sum" dataDxfId="591" totalsRowDxfId="590" dataCellStyle="0DecWComma&amp;0">
      <calculatedColumnFormula>SUM(SH_InventoryType[[#This Row],[Households without Children]:[Households with only Children]])</calculatedColumnFormula>
    </tableColumn>
  </tableColumns>
  <tableStyleInfo name="HDXTableStyle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5311C37-6392-477E-B6D4-5E298D807FDC}" name="SH_ProjectType" displayName="SH_ProjectType" ref="A37:E44" totalsRowCount="1" headerRowDxfId="589" dataDxfId="588">
  <tableColumns count="5">
    <tableColumn id="1" xr3:uid="{CDA2E104-2DBC-41B5-A133-179E042F4216}" name="All Beds by Project Type" totalsRowLabel="Total" dataDxfId="587" totalsRowDxfId="586"/>
    <tableColumn id="2" xr3:uid="{5FE088BB-15AE-4A3E-989B-DA409988826B}" name="Households without Children" totalsRowFunction="sum" dataDxfId="585" totalsRowDxfId="584" dataCellStyle="0DecWComma&amp;0">
      <calculatedColumnFormula>SUMIFS(HicRawData[Beds HH w/o Children],
HicRawData[Project Type],$I$2,
HicRawData[Inventory Type],"C",
HicRawData[Project Type], SH_ProjectType[[#This Row],[All Beds by Project Type]])</calculatedColumnFormula>
    </tableColumn>
    <tableColumn id="3" xr3:uid="{C15FB49A-AAB0-43E0-B5EB-C401EC240CA3}" name="Households with Children" totalsRowFunction="sum" dataDxfId="583" totalsRowDxfId="582" dataCellStyle="0DecWComma&amp;0">
      <calculatedColumnFormula>SUMIFS(HicRawData[Beds HH w/ Children],
HicRawData[Project Type],$I$2,
HicRawData[Inventory Type],"C",
HicRawData[Project Type], SH_ProjectType[[#This Row],[All Beds by Project Type]])</calculatedColumnFormula>
    </tableColumn>
    <tableColumn id="4" xr3:uid="{CBB1AFD6-AD8A-4676-8A20-F20EB01928EC}" name="Households with only Children" totalsRowFunction="sum" dataDxfId="581" totalsRowDxfId="580" dataCellStyle="0DecWComma&amp;0">
      <calculatedColumnFormula>SUMIFS(HicRawData[Beds HH w/ only Children],
HicRawData[Project Type],$I$2,
HicRawData[Inventory Type],"C",
HicRawData[Project Type], SH_ProjectType[[#This Row],[All Beds by Project Type]])</calculatedColumnFormula>
    </tableColumn>
    <tableColumn id="5" xr3:uid="{8ECF124B-B927-429B-BFBC-41F4B680908D}" name="Total Year-Round Beds" totalsRowFunction="sum" dataDxfId="579" totalsRowDxfId="578" dataCellStyle="0DecWComma&amp;0">
      <calculatedColumnFormula>SUM(SH_ProjectType[[#This Row],[Households without Children]:[Households with only Children]])</calculatedColumnFormula>
    </tableColumn>
  </tableColumns>
  <tableStyleInfo name="HDXTableStyle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2D5DD99A-55EE-435B-9733-66CFB0652CBC}" name="SH_ProjectTypeHmisParticipation" displayName="SH_ProjectTypeHmisParticipation" ref="A46:E53" totalsRowCount="1" headerRowDxfId="577" dataDxfId="576">
  <tableColumns count="5">
    <tableColumn id="1" xr3:uid="{6F89AB36-67EB-4604-8E00-790484E9432F}" name="HMIS Beds by Project Type" totalsRowLabel="Total" dataDxfId="575" totalsRowDxfId="574"/>
    <tableColumn id="2" xr3:uid="{6E67B0FF-B1F7-4B8B-91E2-46A3827AA936}" name="Households without Children" totalsRowFunction="sum" dataDxfId="573" totalsRowDxfId="572" dataCellStyle="0DecWComma&amp;0" totalsRowCellStyle="0DecWComma&amp;0">
      <calculatedColumnFormula>SUMIFS(HicRawData[Beds HH w/o Children],
HicRawData[Project Type],$I$2,
HicRawData[Inventory Type],"C",
HicRawData[Project Type], SH_ProjectTypeHmisParticipation[[#This Row],[HMIS Beds by Project Type]],
HicRawData[HMIS Participating], "Yes")</calculatedColumnFormula>
    </tableColumn>
    <tableColumn id="3" xr3:uid="{FD3A97A9-8A7A-479C-9BEC-FD4704AFB7C4}" name="Households with Children" totalsRowFunction="sum" dataDxfId="571" totalsRowDxfId="570" dataCellStyle="0DecWComma&amp;0" totalsRowCellStyle="0DecWComma&amp;0">
      <calculatedColumnFormula>SUMIFS(HicRawData[Beds HH w/ Children],
HicRawData[Project Type],$I$2,
HicRawData[Inventory Type],"C",
HicRawData[Project Type], SH_ProjectTypeHmisParticipation[[#This Row],[HMIS Beds by Project Type]],
HicRawData[HMIS Participating], "Yes")</calculatedColumnFormula>
    </tableColumn>
    <tableColumn id="4" xr3:uid="{7750754B-D51F-472E-BEAB-75C129E8B5DD}" name="Households with only Children" totalsRowFunction="sum" dataDxfId="569" totalsRowDxfId="568" dataCellStyle="0DecWComma&amp;0" totalsRowCellStyle="0DecWComma&amp;0">
      <calculatedColumnFormula>SUMIFS(HicRawData[Beds HH w/ only Children],
HicRawData[Project Type],$I$2,
HicRawData[Inventory Type],"C",
HicRawData[Project Type], SH_ProjectTypeHmisParticipation[[#This Row],[HMIS Beds by Project Type]],
HicRawData[HMIS Participating], "Yes")</calculatedColumnFormula>
    </tableColumn>
    <tableColumn id="5" xr3:uid="{D68E6EFB-D128-4E69-A204-19755F9DB537}" name="Total Year-Round Beds" totalsRowFunction="sum" totalsRowDxfId="567" dataCellStyle="0DecWComma&amp;0" totalsRowCellStyle="0DecWComma&amp;0">
      <calculatedColumnFormula>B47+C47+D47</calculatedColumnFormula>
    </tableColumn>
  </tableColumns>
  <tableStyleInfo name="HDXTableStyle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216C47A2-08C5-40BF-8A07-26C983D646CF}" name="PSH_HmisParticipation" displayName="PSH_HmisParticipation" ref="A6:E10" totalsRowCount="1" headerRowDxfId="566" dataDxfId="565" totalsRowDxfId="564">
  <tableColumns count="5">
    <tableColumn id="1" xr3:uid="{9EBB750C-A49C-45DB-9DE5-94D932C80CC8}" name="Beds by HMIS Participation" totalsRowLabel="Total" dataDxfId="563" totalsRowDxfId="562"/>
    <tableColumn id="2" xr3:uid="{2F3F1ED1-94A0-4530-8FD7-5C30BC83AA40}" name="Households without Children" totalsRowFunction="sum" dataDxfId="561" totalsRowDxfId="560" dataCellStyle="0DecWComma&amp;0" totalsRowCellStyle="0DecWComma&amp;0">
      <calculatedColumnFormula>SUMIFS(HicRawData[Beds HH w/o Children],
HicRawData[Project Type],$I$2,
HicRawData[Inventory Type],"C",
HicRawData[HMIS Participating],$I7)</calculatedColumnFormula>
    </tableColumn>
    <tableColumn id="3" xr3:uid="{062774EC-4781-451A-9704-27327ADE7D5B}" name="Households with Children" totalsRowFunction="sum" dataDxfId="559" totalsRowDxfId="558" dataCellStyle="0DecWComma&amp;0" totalsRowCellStyle="0DecWComma&amp;0">
      <calculatedColumnFormula>SUMIFS(HicRawData[Beds HH w/ Children],
HicRawData[Project Type],$I$2,
HicRawData[Inventory Type],"C",
HicRawData[HMIS Participating],$I7)</calculatedColumnFormula>
    </tableColumn>
    <tableColumn id="4" xr3:uid="{F3EDB20D-98F7-4A68-8AF4-C8A42F7D8A26}" name="Households with only Children" totalsRowFunction="sum" dataDxfId="557" totalsRowDxfId="556" dataCellStyle="0DecWComma&amp;0" totalsRowCellStyle="0DecWComma&amp;0">
      <calculatedColumnFormula>SUMIFS(HicRawData[Beds HH w/ only Children],
HicRawData[Project Type],$I$2,
HicRawData[Inventory Type],"C",
HicRawData[HMIS Participating],$I7)</calculatedColumnFormula>
    </tableColumn>
    <tableColumn id="5" xr3:uid="{C9AA4E36-62E0-4B16-8999-FE60DF42FD62}" name="Total Year-Round Beds" totalsRowFunction="sum" dataDxfId="555" totalsRowDxfId="554" dataCellStyle="0DecWComma&amp;0" totalsRowCellStyle="0DecWComma&amp;0">
      <calculatedColumnFormula>SUM(PSH_HmisParticipation[[#This Row],[Households without Children]:[Households with only Children]])</calculatedColumnFormula>
    </tableColumn>
  </tableColumns>
  <tableStyleInfo name="HDXTableStyle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DC00F06B-87A1-4F13-A655-60FED30F62E1}" name="PSH_NonVspHmisParticipation" displayName="PSH_NonVspHmisParticipation" ref="A13:E17" totalsRowCount="1" headerRowDxfId="553" dataDxfId="552" totalsRowDxfId="551">
  <tableColumns count="5">
    <tableColumn id="1" xr3:uid="{0FD0F255-AB80-41DD-9481-224DF5D9AB22}" name="Non-VSP* Beds by HMIS Participation" totalsRowLabel="Total" dataDxfId="550" totalsRowDxfId="549"/>
    <tableColumn id="2" xr3:uid="{67D15A48-0342-4931-8BDC-251390763506}" name="Households without Children" totalsRowFunction="sum" dataDxfId="548" totalsRowDxfId="547"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06678302-C9FD-420A-A9D8-844D0E7D600D}" name="Households with Children" totalsRowFunction="sum" dataDxfId="546" totalsRowDxfId="545"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D000521A-E765-454B-9AB1-4952D2CE94E4}" name="Households with only Children" totalsRowFunction="sum" dataDxfId="544" totalsRowDxfId="543"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6F92729D-1824-4FB8-8DB2-4F6413C2C1ED}" name="Total Year-Round Beds" totalsRowFunction="sum" dataDxfId="542" totalsRowDxfId="541" dataCellStyle="0DecWComma&amp;0" totalsRowCellStyle="0DecWComma&amp;0">
      <calculatedColumnFormula>SUM(PSH_NonVspHmisParticipation[[#This Row],[Households without Children]:[Households with only Children]])</calculatedColumnFormula>
    </tableColumn>
  </tableColumns>
  <tableStyleInfo name="HDXTableStyle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7305F9-A236-4EDF-9E0F-CC76D25E6A65}" name="AllBeds_NonVspHmisParticipation" displayName="AllBeds_NonVspHmisParticipation" ref="A13:E17" totalsRowCount="1" headerRowDxfId="869" dataDxfId="868" totalsRowDxfId="867">
  <tableColumns count="5">
    <tableColumn id="1" xr3:uid="{2F6A779D-BF4D-442C-8CFD-3F2852565804}" name="Non-VSP* Beds by HMIS Participation" totalsRowLabel="Total" dataDxfId="866" totalsRowDxfId="865"/>
    <tableColumn id="2" xr3:uid="{5CB5C028-F042-41D4-A3A0-936CFB06117F}" name="Households without Children" totalsRowFunction="sum" dataDxfId="864" totalsRowDxfId="863"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8674C14E-A143-4D72-89FA-6F4AC463ADC6}" name="Households with Children" totalsRowFunction="sum" dataDxfId="862" totalsRowDxfId="861"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026CFB03-E327-4A9D-8599-2C66D02DF8A3}" name="Households with only Children" totalsRowFunction="sum" dataDxfId="860" totalsRowDxfId="859"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9BCA5D7A-E923-40EF-8C2B-2A31E4A35C07}" name="Total Year-Round Beds" totalsRowFunction="sum" dataDxfId="858" totalsRowDxfId="857" dataCellStyle="0DecWComma&amp;0" totalsRowCellStyle="0DecWComma&amp;0">
      <calculatedColumnFormula>SUM(AllBeds_NonVspHmisParticipation[[#This Row],[Households without Children]:[Households with only Children]])</calculatedColumnFormula>
    </tableColumn>
  </tableColumns>
  <tableStyleInfo name="HDXTableStyle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D5F1685-0D15-42E9-9E52-5A77A3BFA635}" name="PSH_TargetPopulation" displayName="PSH_TargetPopulation" ref="A20:E24" totalsRowCount="1" headerRowDxfId="540" dataDxfId="539" totalsRowDxfId="538">
  <tableColumns count="5">
    <tableColumn id="1" xr3:uid="{EF4DC942-ACAA-4C68-9736-F08BA1AE10D7}" name="Beds by Target Population" totalsRowLabel="Total" dataDxfId="537" totalsRowDxfId="536"/>
    <tableColumn id="2" xr3:uid="{5BA256E4-485D-483D-B2C5-15ACA3DA94DB}" name="Households without Children" totalsRowFunction="sum" dataDxfId="535" totalsRowDxfId="534" dataCellStyle="0DecWComma&amp;0">
      <calculatedColumnFormula>SUMIFS(HicRawData[Beds HH w/o Children],
HicRawData[Project Type],$I$2,
HicRawData[Inventory Type],"C",
HicRawData[Target Population],PSH_TargetPopulation[[#This Row],[Beds by Target Population]])</calculatedColumnFormula>
    </tableColumn>
    <tableColumn id="3" xr3:uid="{11F52919-D615-4141-B57A-899080208075}" name="Households with Children" totalsRowFunction="sum" dataDxfId="533" totalsRowDxfId="532" dataCellStyle="0DecWComma&amp;0">
      <calculatedColumnFormula>SUMIFS(HicRawData[Beds HH w/ Children],
HicRawData[Project Type],$I$2,
HicRawData[Inventory Type],"C",
HicRawData[Target Population],PSH_TargetPopulation[[#This Row],[Beds by Target Population]])</calculatedColumnFormula>
    </tableColumn>
    <tableColumn id="4" xr3:uid="{EB24CBC0-0F10-4F8F-8E58-A86D9032F2F1}" name="Households with only Children" totalsRowFunction="sum" dataDxfId="531" totalsRowDxfId="530" dataCellStyle="0DecWComma&amp;0">
      <calculatedColumnFormula>SUMIFS(HicRawData[Beds HH w/ only Children],
HicRawData[Project Type],$I$2,
HicRawData[Inventory Type],"C",
HicRawData[Target Population],PSH_TargetPopulation[[#This Row],[Beds by Target Population]])</calculatedColumnFormula>
    </tableColumn>
    <tableColumn id="5" xr3:uid="{E163402F-BE9E-4972-9F59-58F0CE98423F}" name="Total Year-Round Beds" totalsRowFunction="sum" dataDxfId="529" totalsRowDxfId="528" dataCellStyle="0DecWComma&amp;0">
      <calculatedColumnFormula>SUM(PSH_TargetPopulation[[#This Row],[Households without Children]:[Households with only Children]])</calculatedColumnFormula>
    </tableColumn>
  </tableColumns>
  <tableStyleInfo name="HDXTableStyle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73603740-8BA8-4EE8-B14E-253CCBE5AAF1}" name="PSH_InventoryType" displayName="PSH_InventoryType" ref="A26:E29" totalsRowCount="1" headerRowDxfId="527" dataDxfId="526" totalsRowDxfId="525">
  <tableColumns count="5">
    <tableColumn id="1" xr3:uid="{F0AE3375-EE68-425E-988E-92529D95F8A1}" name="Beds by Inventory Type" totalsRowLabel="Total" dataDxfId="524" totalsRowDxfId="523"/>
    <tableColumn id="2" xr3:uid="{2B77C666-0225-40A9-A7C5-75F88EC7CE0B}" name="Households without Children" totalsRowFunction="sum" dataDxfId="522" totalsRowDxfId="521" dataCellStyle="0DecWComma&amp;0">
      <calculatedColumnFormula>SUMIFS(HicRawData[Beds HH w/o Children],
HicRawData[Project Type],$I$2,
HicRawData[Inventory Type],$I27)</calculatedColumnFormula>
    </tableColumn>
    <tableColumn id="3" xr3:uid="{E5FCF06D-BA9E-48CE-94C9-3595EC93C36C}" name="Households with Children" totalsRowFunction="sum" dataDxfId="520" totalsRowDxfId="519" dataCellStyle="0DecWComma&amp;0">
      <calculatedColumnFormula>SUMIFS(HicRawData[Beds HH w/ Children],
HicRawData[Project Type],$I$2,
HicRawData[Inventory Type],$I27)</calculatedColumnFormula>
    </tableColumn>
    <tableColumn id="4" xr3:uid="{9C827E2C-FC39-4434-A59C-DA9D3400B820}" name="Households with only Children" totalsRowFunction="sum" dataDxfId="518" totalsRowDxfId="517" dataCellStyle="0DecWComma&amp;0">
      <calculatedColumnFormula>SUMIFS(HicRawData[Beds HH w/ only Children],
HicRawData[Project Type],$I$2,
HicRawData[Inventory Type],$I27)</calculatedColumnFormula>
    </tableColumn>
    <tableColumn id="5" xr3:uid="{D6A54987-F95D-4A7C-9A3D-C9F33CD66EB8}" name="Total Year-Round Beds" totalsRowFunction="sum" dataDxfId="516" totalsRowDxfId="515" dataCellStyle="0DecWComma&amp;0">
      <calculatedColumnFormula>SUM(PSH_InventoryType[[#This Row],[Households without Children]:[Households with only Children]])</calculatedColumnFormula>
    </tableColumn>
  </tableColumns>
  <tableStyleInfo name="HDXTableStyle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551CA627-B106-4627-A04F-8A38690AF2C8}" name="PSH_ProjectType" displayName="PSH_ProjectType" ref="A37:E44" totalsRowCount="1" headerRowDxfId="514" dataDxfId="513">
  <tableColumns count="5">
    <tableColumn id="1" xr3:uid="{D4799DB6-BF8A-4451-8BFD-CF2B8CE869AC}" name="All Beds by Project Type" totalsRowLabel="Total" dataDxfId="512" totalsRowDxfId="511"/>
    <tableColumn id="2" xr3:uid="{0D1AA227-D1C7-473F-94B8-833F53FB0D1B}" name="Households without Children" totalsRowFunction="sum" dataDxfId="510" totalsRowDxfId="509" dataCellStyle="0DecWComma&amp;0">
      <calculatedColumnFormula>SUMIFS(HicRawData[Beds HH w/o Children],
HicRawData[Project Type],$I$2,
HicRawData[Inventory Type],"C",
HicRawData[Project Type], PSH_ProjectType[[#This Row],[All Beds by Project Type]])</calculatedColumnFormula>
    </tableColumn>
    <tableColumn id="3" xr3:uid="{F58D5809-F9BE-4756-AC32-01139788259D}" name="Households with Children" totalsRowFunction="sum" dataDxfId="508" totalsRowDxfId="507" dataCellStyle="0DecWComma&amp;0">
      <calculatedColumnFormula>SUMIFS(HicRawData[Beds HH w/ Children],
HicRawData[Project Type],$I$2,
HicRawData[Inventory Type],"C",
HicRawData[Project Type], PSH_ProjectType[[#This Row],[All Beds by Project Type]])</calculatedColumnFormula>
    </tableColumn>
    <tableColumn id="4" xr3:uid="{2AE6F514-0ED5-4B93-8C59-50402E76833E}" name="Households with only Children" totalsRowFunction="sum" dataDxfId="506" totalsRowDxfId="505" dataCellStyle="0DecWComma&amp;0">
      <calculatedColumnFormula>SUMIFS(HicRawData[Beds HH w/ only Children],
HicRawData[Project Type],$I$2,
HicRawData[Inventory Type],"C",
HicRawData[Project Type], PSH_ProjectType[[#This Row],[All Beds by Project Type]])</calculatedColumnFormula>
    </tableColumn>
    <tableColumn id="5" xr3:uid="{089B76D8-55FB-4463-A5FD-37B49652A098}" name="Total Year-Round Beds" totalsRowFunction="sum" dataDxfId="504" totalsRowDxfId="503" dataCellStyle="0DecWComma&amp;0">
      <calculatedColumnFormula>SUM(PSH_ProjectType[[#This Row],[Households without Children]:[Households with only Children]])</calculatedColumnFormula>
    </tableColumn>
  </tableColumns>
  <tableStyleInfo name="HDXTableStyle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51E02B8A-CCD6-4B0F-90CC-005ED6D32DBF}" name="PSH_ProjectTypeHmisParticipation" displayName="PSH_ProjectTypeHmisParticipation" ref="A46:E53" totalsRowCount="1" headerRowDxfId="502" dataDxfId="501">
  <tableColumns count="5">
    <tableColumn id="1" xr3:uid="{583C4D3F-FF6D-4635-BB1A-08EEADFBF5B8}" name="HMIS Beds by Project Type" totalsRowLabel="Total" dataDxfId="500" totalsRowDxfId="499"/>
    <tableColumn id="2" xr3:uid="{DBF4FD44-61D3-45CF-90CB-71ABFFEC8F48}" name="Households without Children" totalsRowFunction="sum" dataDxfId="498" totalsRowDxfId="497" dataCellStyle="0DecWComma&amp;0" totalsRowCellStyle="0DecWComma&amp;0">
      <calculatedColumnFormula>SUMIFS(HicRawData[Beds HH w/o Children],
HicRawData[Project Type],$I$2,
HicRawData[Inventory Type],"C",
HicRawData[Project Type], PSH_ProjectTypeHmisParticipation[[#This Row],[HMIS Beds by Project Type]],
HicRawData[HMIS Participating], "Yes")</calculatedColumnFormula>
    </tableColumn>
    <tableColumn id="3" xr3:uid="{13E116FF-3509-49D1-82ED-5048D4D7BD71}" name="Households with Children" totalsRowFunction="sum" dataDxfId="496" totalsRowDxfId="495" dataCellStyle="0DecWComma&amp;0" totalsRowCellStyle="0DecWComma&amp;0">
      <calculatedColumnFormula>SUMIFS(HicRawData[Beds HH w/ Children],
HicRawData[Project Type],$I$2,
HicRawData[Inventory Type],"C",
HicRawData[Project Type], PSH_ProjectTypeHmisParticipation[[#This Row],[HMIS Beds by Project Type]],
HicRawData[HMIS Participating], "Yes")</calculatedColumnFormula>
    </tableColumn>
    <tableColumn id="4" xr3:uid="{7CF9BBB7-4254-4C06-B9AC-840487A4D77E}" name="Households with only Children" totalsRowFunction="sum" dataDxfId="494" totalsRowDxfId="493" dataCellStyle="0DecWComma&amp;0" totalsRowCellStyle="0DecWComma&amp;0">
      <calculatedColumnFormula>SUMIFS(HicRawData[Beds HH w/ only Children],
HicRawData[Project Type],$I$2,
HicRawData[Inventory Type],"C",
HicRawData[Project Type], PSH_ProjectTypeHmisParticipation[[#This Row],[HMIS Beds by Project Type]],
HicRawData[HMIS Participating], "Yes")</calculatedColumnFormula>
    </tableColumn>
    <tableColumn id="5" xr3:uid="{8F362C9E-3D6A-46FE-B2D9-A65255397860}" name="Total Year-Round Beds" totalsRowFunction="sum" totalsRowDxfId="492" dataCellStyle="0DecWComma&amp;0" totalsRowCellStyle="0DecWComma&amp;0">
      <calculatedColumnFormula>B47+C47+D47</calculatedColumnFormula>
    </tableColumn>
  </tableColumns>
  <tableStyleInfo name="HDXTableStyle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6016159D-1B36-4466-BDA0-58A2FBCB241C}" name="OPH_HmisParticipation" displayName="OPH_HmisParticipation" ref="A6:E10" totalsRowCount="1" headerRowDxfId="491" dataDxfId="490" totalsRowDxfId="489">
  <tableColumns count="5">
    <tableColumn id="1" xr3:uid="{81AEFD2E-A5B9-4378-B17A-88676E09A7D8}" name="Beds by HMIS Participation" totalsRowLabel="Total" dataDxfId="488" totalsRowDxfId="487"/>
    <tableColumn id="2" xr3:uid="{0220AD8D-2A6A-400E-A3F6-8B5B1C2E3F50}" name="Households without Children" totalsRowFunction="sum" dataDxfId="486" totalsRowDxfId="485" dataCellStyle="0DecWComma&amp;0" totalsRowCellStyle="0DecWComma&amp;0">
      <calculatedColumnFormula>SUMIFS(HicRawData[Beds HH w/o Children],
HicRawData[Project Type],$I$2,
HicRawData[Inventory Type],"C",
HicRawData[HMIS Participating],$I7)</calculatedColumnFormula>
    </tableColumn>
    <tableColumn id="3" xr3:uid="{98875292-78D3-44EF-BF77-0F9D7F5EB52F}" name="Households with Children" totalsRowFunction="sum" dataDxfId="484" totalsRowDxfId="483" dataCellStyle="0DecWComma&amp;0" totalsRowCellStyle="0DecWComma&amp;0">
      <calculatedColumnFormula>SUMIFS(HicRawData[Beds HH w/ Children],
HicRawData[Project Type],$I$2,
HicRawData[Inventory Type],"C",
HicRawData[HMIS Participating],$I7)</calculatedColumnFormula>
    </tableColumn>
    <tableColumn id="4" xr3:uid="{A279A004-F0DA-4D64-81C8-EBC049FFD05C}" name="Households with only Children" totalsRowFunction="sum" dataDxfId="482" totalsRowDxfId="481" dataCellStyle="0DecWComma&amp;0" totalsRowCellStyle="0DecWComma&amp;0">
      <calculatedColumnFormula>SUMIFS(HicRawData[Beds HH w/ only Children],
HicRawData[Project Type],$I$2,
HicRawData[Inventory Type],"C",
HicRawData[HMIS Participating],$I7)</calculatedColumnFormula>
    </tableColumn>
    <tableColumn id="5" xr3:uid="{02EEF0D7-9A7E-4A1C-ABB3-8477F7E8E9E5}" name="Total Year-Round Beds" totalsRowFunction="sum" dataDxfId="480" totalsRowDxfId="479" dataCellStyle="0DecWComma&amp;0" totalsRowCellStyle="0DecWComma&amp;0">
      <calculatedColumnFormula>SUM(OPH_HmisParticipation[[#This Row],[Households without Children]:[Households with only Children]])</calculatedColumnFormula>
    </tableColumn>
  </tableColumns>
  <tableStyleInfo name="HDXTableStyle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D6D42EF8-5941-4A65-A71D-677A910A9784}" name="OPH_NonVspHmisParticipation" displayName="OPH_NonVspHmisParticipation" ref="A13:E17" totalsRowCount="1" headerRowDxfId="478" dataDxfId="477" totalsRowDxfId="476">
  <tableColumns count="5">
    <tableColumn id="1" xr3:uid="{1AC0E292-9F49-425C-9D42-7C5CABBF103B}" name="Non-VSP* Beds by HMIS Participation" totalsRowLabel="Total" dataDxfId="475" totalsRowDxfId="474"/>
    <tableColumn id="2" xr3:uid="{3DBC967E-0DE5-4440-B33E-A9F0EE1EAF9E}" name="Households without Children" totalsRowFunction="sum" dataDxfId="473" totalsRowDxfId="472"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57917C05-DB1D-46E6-9753-A0928A96532C}" name="Households with Children" totalsRowFunction="sum" dataDxfId="471" totalsRowDxfId="470"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8FF863D3-6F6A-4794-84DA-10FE4F35991F}" name="Households with only Children" totalsRowFunction="sum" dataDxfId="469" totalsRowDxfId="468"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3314DF71-2189-4676-B860-9F4044494FEB}" name="Total Year-Round Beds" totalsRowFunction="sum" dataDxfId="467" totalsRowDxfId="466" dataCellStyle="0DecWComma&amp;0" totalsRowCellStyle="0DecWComma&amp;0">
      <calculatedColumnFormula>SUM(OPH_NonVspHmisParticipation[[#This Row],[Households without Children]:[Households with only Children]])</calculatedColumnFormula>
    </tableColumn>
  </tableColumns>
  <tableStyleInfo name="HDXTableStyle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21563D85-A2F4-4F51-8DA7-5D54E1011204}" name="OPH_TargetPopulation" displayName="OPH_TargetPopulation" ref="A20:E24" totalsRowCount="1" headerRowDxfId="465" dataDxfId="464" totalsRowDxfId="463">
  <tableColumns count="5">
    <tableColumn id="1" xr3:uid="{AC73C412-0D69-4B02-BB3A-34D76BAFD159}" name="Beds by Target Population" totalsRowLabel="Total" dataDxfId="462" totalsRowDxfId="461"/>
    <tableColumn id="2" xr3:uid="{353FD164-5406-4457-9F05-1F2AD46A66CA}" name="Households without Children" totalsRowFunction="sum" dataDxfId="460" totalsRowDxfId="459" dataCellStyle="0DecWComma&amp;0">
      <calculatedColumnFormula>SUMIFS(HicRawData[Beds HH w/o Children],
HicRawData[Project Type],$I$2,
HicRawData[Inventory Type],"C",
HicRawData[Target Population],OPH_TargetPopulation[[#This Row],[Beds by Target Population]])</calculatedColumnFormula>
    </tableColumn>
    <tableColumn id="3" xr3:uid="{8C28B07A-1439-4AF4-BEAA-E2D2344DAD27}" name="Households with Children" totalsRowFunction="sum" dataDxfId="458" totalsRowDxfId="457" dataCellStyle="0DecWComma&amp;0">
      <calculatedColumnFormula>SUMIFS(HicRawData[Beds HH w/ Children],
HicRawData[Project Type],$I$2,
HicRawData[Inventory Type],"C",
HicRawData[Target Population],OPH_TargetPopulation[[#This Row],[Beds by Target Population]])</calculatedColumnFormula>
    </tableColumn>
    <tableColumn id="4" xr3:uid="{59AA067D-4D76-4302-84F8-EACC8273491A}" name="Households with only Children" totalsRowFunction="sum" dataDxfId="456" totalsRowDxfId="455" dataCellStyle="0DecWComma&amp;0">
      <calculatedColumnFormula>SUMIFS(HicRawData[Beds HH w/ only Children],
HicRawData[Project Type],$I$2,
HicRawData[Inventory Type],"C",
HicRawData[Target Population],OPH_TargetPopulation[[#This Row],[Beds by Target Population]])</calculatedColumnFormula>
    </tableColumn>
    <tableColumn id="5" xr3:uid="{401262E9-2C71-46A3-8578-D8345F6E7D7E}" name="Total Year-Round Beds" totalsRowFunction="sum" dataDxfId="454" totalsRowDxfId="453" dataCellStyle="0DecWComma&amp;0">
      <calculatedColumnFormula>SUM(OPH_TargetPopulation[[#This Row],[Households without Children]:[Households with only Children]])</calculatedColumnFormula>
    </tableColumn>
  </tableColumns>
  <tableStyleInfo name="HDXTableStyle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6EB822B-BB2A-4496-8902-D9A65938EF78}" name="OPH_InventoryType" displayName="OPH_InventoryType" ref="A26:E29" totalsRowCount="1" headerRowDxfId="452" dataDxfId="451" totalsRowDxfId="450">
  <tableColumns count="5">
    <tableColumn id="1" xr3:uid="{738C56A0-7B03-4979-A327-9654CC783279}" name="Beds by Inventory Type" totalsRowLabel="Total" dataDxfId="449" totalsRowDxfId="448"/>
    <tableColumn id="2" xr3:uid="{07C64B39-4968-4032-88F8-CA8D650E9F4A}" name="Households without Children" totalsRowFunction="sum" dataDxfId="447" totalsRowDxfId="446" dataCellStyle="0DecWComma&amp;0">
      <calculatedColumnFormula>SUMIFS(HicRawData[Beds HH w/o Children],
HicRawData[Project Type],$I$2,
HicRawData[Inventory Type],$I27)</calculatedColumnFormula>
    </tableColumn>
    <tableColumn id="3" xr3:uid="{FA820232-F0E6-4FA0-8FE5-733063FB156F}" name="Households with Children" totalsRowFunction="sum" dataDxfId="445" totalsRowDxfId="444" dataCellStyle="0DecWComma&amp;0">
      <calculatedColumnFormula>SUMIFS(HicRawData[Beds HH w/ Children],
HicRawData[Project Type],$I$2,
HicRawData[Inventory Type],$I27)</calculatedColumnFormula>
    </tableColumn>
    <tableColumn id="4" xr3:uid="{B04EFAC2-1030-47E8-AED1-FD3A08CC9D96}" name="Households with only Children" totalsRowFunction="sum" dataDxfId="443" totalsRowDxfId="442" dataCellStyle="0DecWComma&amp;0">
      <calculatedColumnFormula>SUMIFS(HicRawData[Beds HH w/ only Children],
HicRawData[Project Type],$I$2,
HicRawData[Inventory Type],$I27)</calculatedColumnFormula>
    </tableColumn>
    <tableColumn id="5" xr3:uid="{5A431A70-5205-4C83-AECF-4E0A1FE8B08C}" name="Total Year-Round Beds" totalsRowFunction="sum" dataDxfId="441" totalsRowDxfId="440" dataCellStyle="0DecWComma&amp;0">
      <calculatedColumnFormula>SUM(OPH_InventoryType[[#This Row],[Households without Children]:[Households with only Children]])</calculatedColumnFormula>
    </tableColumn>
  </tableColumns>
  <tableStyleInfo name="HDXTableStyle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F87F9906-FFC5-40B1-9DD8-74F89F1D95C5}" name="OPH_ProjectType" displayName="OPH_ProjectType" ref="A37:E44" totalsRowCount="1" headerRowDxfId="439" dataDxfId="438">
  <tableColumns count="5">
    <tableColumn id="1" xr3:uid="{B0B68A98-820C-496A-A630-693D1A7E5598}" name="All Beds by Project Type" totalsRowLabel="Total" dataDxfId="437" totalsRowDxfId="436"/>
    <tableColumn id="2" xr3:uid="{10E75D25-943D-4B0F-AF4B-656F2DDDF798}" name="Households without Children" totalsRowFunction="sum" dataDxfId="435" totalsRowDxfId="434" dataCellStyle="0DecWComma&amp;0">
      <calculatedColumnFormula>SUMIFS(HicRawData[Beds HH w/o Children],
HicRawData[Project Type],$I$2,
HicRawData[Inventory Type],"C",
HicRawData[Project Type], OPH_ProjectType[[#This Row],[All Beds by Project Type]])</calculatedColumnFormula>
    </tableColumn>
    <tableColumn id="3" xr3:uid="{E844160C-8256-4D4B-A251-A1FAEF11C2D7}" name="Households with Children" totalsRowFunction="sum" dataDxfId="433" totalsRowDxfId="432" dataCellStyle="0DecWComma&amp;0">
      <calculatedColumnFormula>SUMIFS(HicRawData[Beds HH w/ Children],
HicRawData[Project Type],$I$2,
HicRawData[Inventory Type],"C",
HicRawData[Project Type], OPH_ProjectType[[#This Row],[All Beds by Project Type]])</calculatedColumnFormula>
    </tableColumn>
    <tableColumn id="4" xr3:uid="{FDEDC261-CC40-4FB9-B814-CDFD4CF1E17D}" name="Households with only Children" totalsRowFunction="sum" dataDxfId="431" totalsRowDxfId="430" dataCellStyle="0DecWComma&amp;0">
      <calculatedColumnFormula>SUMIFS(HicRawData[Beds HH w/ only Children],
HicRawData[Project Type],$I$2,
HicRawData[Inventory Type],"C",
HicRawData[Project Type], OPH_ProjectType[[#This Row],[All Beds by Project Type]])</calculatedColumnFormula>
    </tableColumn>
    <tableColumn id="5" xr3:uid="{2E564CD7-408D-494F-8C07-4CC0417EAC5E}" name="Total Year-Round Beds" totalsRowFunction="sum" dataDxfId="429" totalsRowDxfId="428" dataCellStyle="0DecWComma&amp;0">
      <calculatedColumnFormula>SUM(OPH_ProjectType[[#This Row],[Households without Children]:[Households with only Children]])</calculatedColumnFormula>
    </tableColumn>
  </tableColumns>
  <tableStyleInfo name="HDXTableStyle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18079FB6-9918-4495-A465-32FBEE204BDD}" name="OPH_ProjectTypeHmisParticipation" displayName="OPH_ProjectTypeHmisParticipation" ref="A46:E53" totalsRowCount="1" headerRowDxfId="427" dataDxfId="426">
  <tableColumns count="5">
    <tableColumn id="1" xr3:uid="{F40CBAA7-6B20-45FE-9981-47A17EF7E5FB}" name="HMIS Beds by Project Type" totalsRowLabel="Total" dataDxfId="425" totalsRowDxfId="424"/>
    <tableColumn id="2" xr3:uid="{D1F0C35A-C149-44FD-96C1-8B419356611A}" name="Households without Children" totalsRowFunction="sum" dataDxfId="423" totalsRowDxfId="422" dataCellStyle="0DecWComma&amp;0" totalsRowCellStyle="0DecWComma&amp;0">
      <calculatedColumnFormula>SUMIFS(HicRawData[Beds HH w/o Children],
HicRawData[Project Type],$I$2,
HicRawData[Inventory Type],"C",
HicRawData[Project Type], OPH_ProjectTypeHmisParticipation[[#This Row],[HMIS Beds by Project Type]],
HicRawData[HMIS Participating], "Yes")</calculatedColumnFormula>
    </tableColumn>
    <tableColumn id="3" xr3:uid="{440AE3FE-6E29-4027-B9D0-E09F34139950}" name="Households with Children" totalsRowFunction="sum" dataDxfId="421" totalsRowDxfId="420" dataCellStyle="0DecWComma&amp;0" totalsRowCellStyle="0DecWComma&amp;0">
      <calculatedColumnFormula>SUMIFS(HicRawData[Beds HH w/ Children],
HicRawData[Project Type],$I$2,
HicRawData[Inventory Type],"C",
HicRawData[Project Type], OPH_ProjectTypeHmisParticipation[[#This Row],[HMIS Beds by Project Type]],
HicRawData[HMIS Participating], "Yes")</calculatedColumnFormula>
    </tableColumn>
    <tableColumn id="4" xr3:uid="{4B09CC62-8CD6-4400-85B4-9EAC897265D3}" name="Households with only Children" totalsRowFunction="sum" dataDxfId="419" totalsRowDxfId="418" dataCellStyle="0DecWComma&amp;0" totalsRowCellStyle="0DecWComma&amp;0">
      <calculatedColumnFormula>SUMIFS(HicRawData[Beds HH w/ only Children],
HicRawData[Project Type],$I$2,
HicRawData[Inventory Type],"C",
HicRawData[Project Type], OPH_ProjectTypeHmisParticipation[[#This Row],[HMIS Beds by Project Type]],
HicRawData[HMIS Participating], "Yes")</calculatedColumnFormula>
    </tableColumn>
    <tableColumn id="5" xr3:uid="{13AF3042-F89D-4160-8F63-AC6F3CBE2312}" name="Total Year-Round Beds" totalsRowFunction="sum" totalsRowDxfId="417" dataCellStyle="0DecWComma&amp;0" totalsRowCellStyle="0DecWComma&amp;0">
      <calculatedColumnFormula>B47+C47+D47</calculatedColumnFormula>
    </tableColumn>
  </tableColumns>
  <tableStyleInfo name="HDXTableStyle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193740-3347-48B7-9BB2-22B8D4A6956A}" name="AllBeds_TargetPopulation" displayName="AllBeds_TargetPopulation" ref="A20:E24" totalsRowCount="1" headerRowDxfId="856" dataDxfId="855" totalsRowDxfId="854">
  <tableColumns count="5">
    <tableColumn id="1" xr3:uid="{A6A751F2-69D6-495F-A281-B3DADBAACA97}" name="Beds by Target Population" totalsRowLabel="Total" dataDxfId="853" totalsRowDxfId="852"/>
    <tableColumn id="2" xr3:uid="{39829B17-4C52-428E-92EB-EB350BA687C1}" name="Households without Children" totalsRowFunction="sum" dataDxfId="851" totalsRowDxfId="850" dataCellStyle="0DecWComma&amp;0">
      <calculatedColumnFormula>SUMIFS(HicRawData[Beds HH w/o Children],
HicRawData[Project Type],$I$2,
HicRawData[Inventory Type],"C",
HicRawData[Target Population],AllBeds_TargetPopulation[[#This Row],[Beds by Target Population]])</calculatedColumnFormula>
    </tableColumn>
    <tableColumn id="3" xr3:uid="{A98F2679-A6DC-4013-B260-D4D8AEE10405}" name="Households with Children" totalsRowFunction="sum" dataDxfId="849" totalsRowDxfId="848" dataCellStyle="0DecWComma&amp;0">
      <calculatedColumnFormula>SUMIFS(HicRawData[Beds HH w/ Children],
HicRawData[Project Type],$I$2,
HicRawData[Inventory Type],"C",
HicRawData[Target Population],AllBeds_TargetPopulation[[#This Row],[Beds by Target Population]])</calculatedColumnFormula>
    </tableColumn>
    <tableColumn id="4" xr3:uid="{10D60AAB-7697-45B9-9CC4-AD6B7AA85C73}" name="Households with only Children" totalsRowFunction="sum" dataDxfId="847" totalsRowDxfId="846" dataCellStyle="0DecWComma&amp;0">
      <calculatedColumnFormula>SUMIFS(HicRawData[Beds HH w/ only Children],
HicRawData[Project Type],$I$2,
HicRawData[Inventory Type],"C",
HicRawData[Target Population],AllBeds_TargetPopulation[[#This Row],[Beds by Target Population]])</calculatedColumnFormula>
    </tableColumn>
    <tableColumn id="5" xr3:uid="{DF88FA86-8AB6-44C0-9209-F523166BFAA0}" name="Total Year-Round Beds" totalsRowFunction="sum" dataDxfId="845" totalsRowDxfId="844" dataCellStyle="0DecWComma&amp;0">
      <calculatedColumnFormula>SUM(AllBeds_TargetPopulation[[#This Row],[Households without Children]:[Households with only Children]])</calculatedColumnFormula>
    </tableColumn>
  </tableColumns>
  <tableStyleInfo name="HDXTableStyle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26B96CDE-3B2E-4023-ADD2-23928B4EEEE7}" name="RRH_HmisParticipation" displayName="RRH_HmisParticipation" ref="A6:E10" totalsRowCount="1" headerRowDxfId="416" dataDxfId="415" totalsRowDxfId="414">
  <tableColumns count="5">
    <tableColumn id="1" xr3:uid="{1DEC3A9F-2EA0-4D26-89FC-B33C5D1B97A3}" name="Beds by HMIS Participation" totalsRowLabel="Total" dataDxfId="413" totalsRowDxfId="412"/>
    <tableColumn id="2" xr3:uid="{7B27151F-7052-4665-916E-B6A86286CFD4}" name="Households without Children" totalsRowFunction="sum" dataDxfId="411" totalsRowDxfId="410" dataCellStyle="0DecWComma&amp;0" totalsRowCellStyle="0DecWComma&amp;0">
      <calculatedColumnFormula>SUMIFS(HicRawData[Beds HH w/o Children],
HicRawData[Project Type],$I$2,
HicRawData[Inventory Type],"C",
HicRawData[HMIS Participating],$I7)</calculatedColumnFormula>
    </tableColumn>
    <tableColumn id="3" xr3:uid="{1959F3CD-038B-4E43-9EE0-2CE6D9E934AD}" name="Households with Children" totalsRowFunction="sum" dataDxfId="409" totalsRowDxfId="408" dataCellStyle="0DecWComma&amp;0" totalsRowCellStyle="0DecWComma&amp;0">
      <calculatedColumnFormula>SUMIFS(HicRawData[Beds HH w/ Children],
HicRawData[Project Type],$I$2,
HicRawData[Inventory Type],"C",
HicRawData[HMIS Participating],$I7)</calculatedColumnFormula>
    </tableColumn>
    <tableColumn id="4" xr3:uid="{2EA3BF19-B545-4E55-BF8F-A457EDE365F8}" name="Households with only Children" totalsRowFunction="sum" dataDxfId="407" totalsRowDxfId="406" dataCellStyle="0DecWComma&amp;0" totalsRowCellStyle="0DecWComma&amp;0">
      <calculatedColumnFormula>SUMIFS(HicRawData[Beds HH w/ only Children],
HicRawData[Project Type],$I$2,
HicRawData[Inventory Type],"C",
HicRawData[HMIS Participating],$I7)</calculatedColumnFormula>
    </tableColumn>
    <tableColumn id="5" xr3:uid="{B290B834-D290-4894-82AC-5930C0BE3B3D}" name="Total Year-Round Beds" totalsRowFunction="sum" dataDxfId="405" totalsRowDxfId="404" dataCellStyle="0DecWComma&amp;0" totalsRowCellStyle="0DecWComma&amp;0">
      <calculatedColumnFormula>SUM(RRH_HmisParticipation[[#This Row],[Households without Children]:[Households with only Children]])</calculatedColumnFormula>
    </tableColumn>
  </tableColumns>
  <tableStyleInfo name="HDXTableStyle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DD46578F-5284-47F4-A048-C05738874463}" name="RRH_NonVspHmisParticipation" displayName="RRH_NonVspHmisParticipation" ref="A13:E17" totalsRowCount="1" headerRowDxfId="403" dataDxfId="402" totalsRowDxfId="401">
  <tableColumns count="5">
    <tableColumn id="1" xr3:uid="{60DBBEDC-3C50-4A2D-ADF1-58D2EF0025B4}" name="Non-VSP* Beds by HMIS Participation" totalsRowLabel="Total" dataDxfId="400" totalsRowDxfId="399"/>
    <tableColumn id="2" xr3:uid="{AEF0E240-2E5A-4705-81E9-54F1AF2AD1D6}" name="Households without Children" totalsRowFunction="sum" dataDxfId="398" totalsRowDxfId="397" dataCellStyle="0DecWComma&amp;0" totalsRowCellStyle="0DecWComma&amp;0">
      <calculatedColumnFormula>SUMIFS(HicRawData[Beds HH w/o Children],
HicRawData[Project Type],$I$2,
HicRawData[Inventory Type],"C",
HicRawData[HMIS Participating],$I14,
HicRawData[Victim Service Provider],0)</calculatedColumnFormula>
    </tableColumn>
    <tableColumn id="3" xr3:uid="{7FB2555B-5DFA-4690-99C1-9B849B145FF7}" name="Households with Children" totalsRowFunction="sum" dataDxfId="396" totalsRowDxfId="395" dataCellStyle="0DecWComma&amp;0" totalsRowCellStyle="0DecWComma&amp;0">
      <calculatedColumnFormula>SUMIFS(HicRawData[Beds HH w/ Children],
HicRawData[Project Type],$I$2,
HicRawData[Inventory Type],"C",
HicRawData[HMIS Participating],$I14,
HicRawData[Victim Service Provider],0)</calculatedColumnFormula>
    </tableColumn>
    <tableColumn id="4" xr3:uid="{2000B8FE-B512-408E-A25E-F48149C1E67D}" name="Households with only Children" totalsRowFunction="sum" dataDxfId="394" totalsRowDxfId="393" dataCellStyle="0DecWComma&amp;0" totalsRowCellStyle="0DecWComma&amp;0">
      <calculatedColumnFormula>SUMIFS(HicRawData[Beds HH w/ only Children],
HicRawData[Project Type],$I$2,
HicRawData[Inventory Type],"C",
HicRawData[HMIS Participating],$I14,
HicRawData[Victim Service Provider],0)</calculatedColumnFormula>
    </tableColumn>
    <tableColumn id="5" xr3:uid="{0BBD1858-A0D2-46B5-8C2F-93B4BEDD40B6}" name="Total Year-Round Beds" totalsRowFunction="sum" dataDxfId="392" totalsRowDxfId="391" dataCellStyle="0DecWComma&amp;0" totalsRowCellStyle="0DecWComma&amp;0">
      <calculatedColumnFormula>SUM(RRH_NonVspHmisParticipation[[#This Row],[Households without Children]:[Households with only Children]])</calculatedColumnFormula>
    </tableColumn>
  </tableColumns>
  <tableStyleInfo name="HDXTableStyle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C7849901-739C-47BB-9477-6CEA870CE546}" name="RRH_TargetPopulation" displayName="RRH_TargetPopulation" ref="A20:E24" totalsRowCount="1" headerRowDxfId="390" dataDxfId="389" totalsRowDxfId="388">
  <tableColumns count="5">
    <tableColumn id="1" xr3:uid="{F97D621F-481F-42C2-AE5B-D0D86FB9ABC4}" name="Beds by Target Population" totalsRowLabel="Total" dataDxfId="387" totalsRowDxfId="386"/>
    <tableColumn id="2" xr3:uid="{E9DAFA9A-C13E-478E-979D-3D22980F89F2}" name="Households without Children" totalsRowFunction="sum" dataDxfId="385" totalsRowDxfId="384" dataCellStyle="0DecWComma&amp;0">
      <calculatedColumnFormula>SUMIFS(HicRawData[Beds HH w/o Children],
HicRawData[Project Type],$I$2,
HicRawData[Inventory Type],"C",
HicRawData[Target Population],RRH_TargetPopulation[[#This Row],[Beds by Target Population]])</calculatedColumnFormula>
    </tableColumn>
    <tableColumn id="3" xr3:uid="{69A96CF0-ADB3-4BF2-AA9D-99540C6DCE71}" name="Households with Children" totalsRowFunction="sum" dataDxfId="383" totalsRowDxfId="382" dataCellStyle="0DecWComma&amp;0">
      <calculatedColumnFormula>SUMIFS(HicRawData[Beds HH w/ Children],
HicRawData[Project Type],$I$2,
HicRawData[Inventory Type],"C",
HicRawData[Target Population],RRH_TargetPopulation[[#This Row],[Beds by Target Population]])</calculatedColumnFormula>
    </tableColumn>
    <tableColumn id="4" xr3:uid="{08BA684A-66E2-4D09-91FC-D577F9A39347}" name="Households with only Children" totalsRowFunction="sum" dataDxfId="381" totalsRowDxfId="380" dataCellStyle="0DecWComma&amp;0">
      <calculatedColumnFormula>SUMIFS(HicRawData[Beds HH w/ only Children],
HicRawData[Project Type],$I$2,
HicRawData[Inventory Type],"C",
HicRawData[Target Population],RRH_TargetPopulation[[#This Row],[Beds by Target Population]])</calculatedColumnFormula>
    </tableColumn>
    <tableColumn id="5" xr3:uid="{90D35D72-017D-4C06-85DE-B9AA9ED70B5C}" name="Total Year-Round Beds" totalsRowFunction="sum" dataDxfId="379" totalsRowDxfId="378" dataCellStyle="0DecWComma&amp;0">
      <calculatedColumnFormula>SUM(RRH_TargetPopulation[[#This Row],[Households without Children]:[Households with only Children]])</calculatedColumnFormula>
    </tableColumn>
  </tableColumns>
  <tableStyleInfo name="HDXTableStyle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67E85AA9-EEC8-4461-8F62-0263134FF263}" name="RRH_InventoryType" displayName="RRH_InventoryType" ref="A26:E29" totalsRowCount="1" headerRowDxfId="377" dataDxfId="376" totalsRowDxfId="375">
  <tableColumns count="5">
    <tableColumn id="1" xr3:uid="{D630EB36-D89C-4C0B-9DD6-76D011A737EF}" name="Beds by Inventory Type" totalsRowLabel="Total" dataDxfId="374" totalsRowDxfId="373"/>
    <tableColumn id="2" xr3:uid="{94FB664E-F192-4A45-A714-33B3B41BD7DF}" name="Households without Children" totalsRowFunction="sum" dataDxfId="372" totalsRowDxfId="371" dataCellStyle="0DecWComma&amp;0">
      <calculatedColumnFormula>SUMIFS(HicRawData[Beds HH w/o Children],
HicRawData[Project Type],$I$2,
HicRawData[Inventory Type],$I27)</calculatedColumnFormula>
    </tableColumn>
    <tableColumn id="3" xr3:uid="{A0B75E53-E3A2-4A7D-B7DA-020EA30BA6B1}" name="Households with Children" totalsRowFunction="sum" dataDxfId="370" totalsRowDxfId="369" dataCellStyle="0DecWComma&amp;0">
      <calculatedColumnFormula>SUMIFS(HicRawData[Beds HH w/ Children],
HicRawData[Project Type],$I$2,
HicRawData[Inventory Type],$I27)</calculatedColumnFormula>
    </tableColumn>
    <tableColumn id="4" xr3:uid="{E32AF4C6-16AD-4B15-93BB-804E415C88B7}" name="Households with only Children" totalsRowFunction="sum" dataDxfId="368" totalsRowDxfId="367" dataCellStyle="0DecWComma&amp;0">
      <calculatedColumnFormula>SUMIFS(HicRawData[Beds HH w/ only Children],
HicRawData[Project Type],$I$2,
HicRawData[Inventory Type],$I27)</calculatedColumnFormula>
    </tableColumn>
    <tableColumn id="5" xr3:uid="{DC9FF198-6210-4A69-86E8-BE5D6F50405D}" name="Total Year-Round Beds" totalsRowFunction="sum" dataDxfId="366" totalsRowDxfId="365" dataCellStyle="0DecWComma&amp;0">
      <calculatedColumnFormula>SUM(RRH_InventoryType[[#This Row],[Households without Children]:[Households with only Children]])</calculatedColumnFormula>
    </tableColumn>
  </tableColumns>
  <tableStyleInfo name="HDXTableStyle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611734FE-778D-4D4C-AF74-DF40E26ED42E}" name="RRH_ProjectType" displayName="RRH_ProjectType" ref="A37:E44" totalsRowCount="1" headerRowDxfId="364" dataDxfId="363">
  <tableColumns count="5">
    <tableColumn id="1" xr3:uid="{89700347-7FF6-4716-88F1-07A11AC766E0}" name="All Beds by Project Type" totalsRowLabel="Total" dataDxfId="362" totalsRowDxfId="361"/>
    <tableColumn id="2" xr3:uid="{7373A692-4F39-4B6A-AB62-EFA8CFEEF07B}" name="Households without Children" totalsRowFunction="sum" dataDxfId="360" totalsRowDxfId="359" dataCellStyle="0DecWComma&amp;0">
      <calculatedColumnFormula>SUMIFS(HicRawData[Beds HH w/o Children],
HicRawData[Project Type],$I$2,
HicRawData[Inventory Type],"C",
HicRawData[Project Type], RRH_ProjectType[[#This Row],[All Beds by Project Type]])</calculatedColumnFormula>
    </tableColumn>
    <tableColumn id="3" xr3:uid="{8C5AE461-F90B-4503-A5D4-20171496196F}" name="Households with Children" totalsRowFunction="sum" dataDxfId="358" totalsRowDxfId="357" dataCellStyle="0DecWComma&amp;0">
      <calculatedColumnFormula>SUMIFS(HicRawData[Beds HH w/ Children],
HicRawData[Project Type],$I$2,
HicRawData[Inventory Type],"C",
HicRawData[Project Type], RRH_ProjectType[[#This Row],[All Beds by Project Type]])</calculatedColumnFormula>
    </tableColumn>
    <tableColumn id="4" xr3:uid="{AF439F2D-D0A5-4024-8D91-6DEC3B3EA857}" name="Households with only Children" totalsRowFunction="sum" dataDxfId="356" totalsRowDxfId="355" dataCellStyle="0DecWComma&amp;0">
      <calculatedColumnFormula>SUMIFS(HicRawData[Beds HH w/ only Children],
HicRawData[Project Type],$I$2,
HicRawData[Inventory Type],"C",
HicRawData[Project Type], RRH_ProjectType[[#This Row],[All Beds by Project Type]])</calculatedColumnFormula>
    </tableColumn>
    <tableColumn id="5" xr3:uid="{1F41F952-8437-4C79-AB5B-3471666041A2}" name="Total Year-Round Beds" totalsRowFunction="sum" dataDxfId="354" totalsRowDxfId="353" dataCellStyle="0DecWComma&amp;0">
      <calculatedColumnFormula>SUM(RRH_ProjectType[[#This Row],[Households without Children]:[Households with only Children]])</calculatedColumnFormula>
    </tableColumn>
  </tableColumns>
  <tableStyleInfo name="HDXTableStyle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916A6E81-CE1F-4F24-A92F-15A2FE174A2B}" name="RRH_ProjectTypeHmisParticipation" displayName="RRH_ProjectTypeHmisParticipation" ref="A46:E53" totalsRowCount="1" headerRowDxfId="352" dataDxfId="351">
  <tableColumns count="5">
    <tableColumn id="1" xr3:uid="{82605A21-F4D9-4E64-BFB2-443CE581D3B6}" name="HMIS Beds by Project Type" totalsRowLabel="Total" dataDxfId="350" totalsRowDxfId="349"/>
    <tableColumn id="2" xr3:uid="{E626C92F-A117-4548-B6BA-B810B11DEE75}" name="Households without Children" totalsRowFunction="sum" dataDxfId="348" totalsRowDxfId="347" dataCellStyle="0DecWComma&amp;0" totalsRowCellStyle="0DecWComma&amp;0">
      <calculatedColumnFormula>SUMIFS(HicRawData[Beds HH w/o Children],
HicRawData[Project Type],$I$2,
HicRawData[Inventory Type],"C",
HicRawData[Project Type], RRH_ProjectTypeHmisParticipation[[#This Row],[HMIS Beds by Project Type]],
HicRawData[HMIS Participating], "Yes")</calculatedColumnFormula>
    </tableColumn>
    <tableColumn id="3" xr3:uid="{CE0EA723-3EC1-4FF0-973F-D64BCA6D4495}" name="Households with Children" totalsRowFunction="sum" dataDxfId="346" totalsRowDxfId="345" dataCellStyle="0DecWComma&amp;0" totalsRowCellStyle="0DecWComma&amp;0">
      <calculatedColumnFormula>SUMIFS(HicRawData[Beds HH w/ Children],
HicRawData[Project Type],$I$2,
HicRawData[Inventory Type],"C",
HicRawData[Project Type], RRH_ProjectTypeHmisParticipation[[#This Row],[HMIS Beds by Project Type]],
HicRawData[HMIS Participating], "Yes")</calculatedColumnFormula>
    </tableColumn>
    <tableColumn id="4" xr3:uid="{95E0FF89-56E1-4A50-A141-1F237DCB4FA8}" name="Households with only Children" totalsRowFunction="sum" dataDxfId="344" totalsRowDxfId="343" dataCellStyle="0DecWComma&amp;0" totalsRowCellStyle="0DecWComma&amp;0">
      <calculatedColumnFormula>SUMIFS(HicRawData[Beds HH w/ only Children],
HicRawData[Project Type],$I$2,
HicRawData[Inventory Type],"C",
HicRawData[Project Type], RRH_ProjectTypeHmisParticipation[[#This Row],[HMIS Beds by Project Type]],
HicRawData[HMIS Participating], "Yes")</calculatedColumnFormula>
    </tableColumn>
    <tableColumn id="5" xr3:uid="{63C6096F-3DC7-4A5F-9A05-62ACA23C2923}" name="Total Year-Round Beds" totalsRowFunction="sum" totalsRowDxfId="342" dataCellStyle="0DecWComma&amp;0" totalsRowCellStyle="0DecWComma&amp;0">
      <calculatedColumnFormula>B47+C47+D47</calculatedColumnFormula>
    </tableColumn>
  </tableColumns>
  <tableStyleInfo name="HDXTableStyle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9F1210FA-E337-468C-A666-9E152200C2BD}" name="Chronic_HmisParticipation" displayName="Chronic_HmisParticipation" ref="A6:E10" totalsRowCount="1" headerRowDxfId="341" dataDxfId="340" totalsRowDxfId="339">
  <tableColumns count="5">
    <tableColumn id="1" xr3:uid="{DAF2F5DE-CFF7-45C5-B2DB-70CF0F0D2B78}" name="Beds by HMIS Participation" totalsRowLabel="Total" dataDxfId="338" totalsRowDxfId="337"/>
    <tableColumn id="2" xr3:uid="{8C0B1D26-9B02-4480-AA20-102D620A4B80}" name="Households without Children" totalsRowFunction="sum" dataDxfId="336" totalsRowDxfId="335" dataCellStyle="0DecWComma&amp;0" totalsRowCellStyle="0DecWComma&amp;0">
      <calculatedColumnFormula>SUMIFS(HicRawData[CH Beds HH w/o Children],
HicRawData[Project Type],$I$2,
HicRawData[Inventory Type],"C",
HicRawData[HMIS Participating],$I7)</calculatedColumnFormula>
    </tableColumn>
    <tableColumn id="3" xr3:uid="{E85C63B7-06C7-4FD3-B154-1F7BD7A43447}" name="Households with Children" totalsRowFunction="sum" dataDxfId="334" totalsRowDxfId="333" dataCellStyle="0DecWComma&amp;0" totalsRowCellStyle="0DecWComma&amp;0">
      <calculatedColumnFormula>SUMIFS(HicRawData[CH Beds HH w/ Children],
HicRawData[Project Type],$I$2,
HicRawData[Inventory Type],"C",
HicRawData[HMIS Participating],$I7)</calculatedColumnFormula>
    </tableColumn>
    <tableColumn id="4" xr3:uid="{2CFC7B89-24BA-468C-B97D-8C3B5F1FB8B9}" name="Households with only Children" totalsRowFunction="sum" dataDxfId="332" totalsRowDxfId="331" dataCellStyle="0DecWComma&amp;0" totalsRowCellStyle="0DecWComma&amp;0">
      <calculatedColumnFormula>SUMIFS(HicRawData[CH Beds HH w only Children],
HicRawData[Project Type],$I$2,
HicRawData[Inventory Type],"C",
HicRawData[HMIS Participating],$I7)</calculatedColumnFormula>
    </tableColumn>
    <tableColumn id="5" xr3:uid="{8CAF8932-7A2E-4ADC-8444-2050E2227F56}" name="Total Year-Round Beds" totalsRowFunction="sum" dataDxfId="330" totalsRowDxfId="329" dataCellStyle="0DecWComma&amp;0" totalsRowCellStyle="0DecWComma&amp;0">
      <calculatedColumnFormula>SUM(Chronic_HmisParticipation[[#This Row],[Households without Children]:[Households with only Children]])</calculatedColumnFormula>
    </tableColumn>
  </tableColumns>
  <tableStyleInfo name="HDXTableStyle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C2E1AB7-26AF-403C-99CD-6C4AE3C93D3B}" name="Chronic_NonVspHmisParticipation" displayName="Chronic_NonVspHmisParticipation" ref="A13:E17" totalsRowCount="1" headerRowDxfId="328" dataDxfId="327" totalsRowDxfId="326">
  <tableColumns count="5">
    <tableColumn id="1" xr3:uid="{98C91725-37DC-4973-8014-1AB0D8C8B62F}" name="Non-VSP* Beds by HMIS Participation" totalsRowLabel="Total" dataDxfId="325" totalsRowDxfId="324"/>
    <tableColumn id="2" xr3:uid="{79F26CDB-2F63-4EDC-8155-23E476B57283}" name="Households without Children" totalsRowFunction="sum" dataDxfId="323" totalsRowDxfId="322" dataCellStyle="0DecWComma&amp;0" totalsRowCellStyle="0DecWComma&amp;0">
      <calculatedColumnFormula>SUMIFS(HicRawData[CH Beds HH w/o Children],
HicRawData[Project Type],$I$2,
HicRawData[Inventory Type],"C",
HicRawData[HMIS Participating],$I14,
HicRawData[Victim Service Provider],0)</calculatedColumnFormula>
    </tableColumn>
    <tableColumn id="3" xr3:uid="{78E981F3-F123-4657-96FB-81EB9175EF51}" name="Households with Children" totalsRowFunction="sum" dataDxfId="321" totalsRowDxfId="320" dataCellStyle="0DecWComma&amp;0" totalsRowCellStyle="0DecWComma&amp;0">
      <calculatedColumnFormula>SUMIFS(HicRawData[CH Beds HH w/ Children],
HicRawData[Project Type],$I$2,
HicRawData[Inventory Type],"C",
HicRawData[HMIS Participating],$I14,
HicRawData[Victim Service Provider],0)</calculatedColumnFormula>
    </tableColumn>
    <tableColumn id="4" xr3:uid="{FAEEA4AD-BAF0-4AFA-8A1A-DB83A11F8DC0}" name="Households with only Children" totalsRowFunction="sum" dataDxfId="319" totalsRowDxfId="318" dataCellStyle="0DecWComma&amp;0" totalsRowCellStyle="0DecWComma&amp;0">
      <calculatedColumnFormula>SUMIFS(HicRawData[CH Beds HH w only Children],
HicRawData[Project Type],$I$2,
HicRawData[Inventory Type],"C",
HicRawData[HMIS Participating],$I14,
HicRawData[Victim Service Provider],0)</calculatedColumnFormula>
    </tableColumn>
    <tableColumn id="5" xr3:uid="{A163DD5F-D660-4958-BFBE-1111E70CF1A2}" name="Total Year-Round Beds" totalsRowFunction="sum" dataDxfId="317" totalsRowDxfId="316" dataCellStyle="0DecWComma&amp;0" totalsRowCellStyle="0DecWComma&amp;0">
      <calculatedColumnFormula>SUM(Chronic_NonVspHmisParticipation[[#This Row],[Households without Children]:[Households with only Children]])</calculatedColumnFormula>
    </tableColumn>
  </tableColumns>
  <tableStyleInfo name="HDXTableStyle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8B0ED0A0-4F5F-4F81-83A7-203490B5305C}" name="Chronic_TargetPopulation" displayName="Chronic_TargetPopulation" ref="A20:E24" totalsRowCount="1" headerRowDxfId="315" dataDxfId="314" totalsRowDxfId="313">
  <tableColumns count="5">
    <tableColumn id="1" xr3:uid="{695A807D-0887-43AC-A2BB-D245BEE59D2D}" name="Beds by Target Population" totalsRowLabel="Total" dataDxfId="312" totalsRowDxfId="311"/>
    <tableColumn id="2" xr3:uid="{BB14E2F8-09FA-4E2D-9D32-B485529D67D3}" name="Households without Children" totalsRowFunction="sum" dataDxfId="310" totalsRowDxfId="309" dataCellStyle="0DecWComma&amp;0">
      <calculatedColumnFormula>SUMIFS(HicRawData[CH Beds HH w/o Children],
HicRawData[Project Type],$I$2,
HicRawData[Inventory Type],"C",
HicRawData[Target Population],Chronic_TargetPopulation[[#This Row],[Beds by Target Population]])</calculatedColumnFormula>
    </tableColumn>
    <tableColumn id="3" xr3:uid="{D65ADB64-CCF2-4142-936F-E62017F42471}" name="Households with Children" totalsRowFunction="sum" dataDxfId="308" totalsRowDxfId="307" dataCellStyle="0DecWComma&amp;0">
      <calculatedColumnFormula>SUMIFS(HicRawData[CH Beds HH w/ Children],
HicRawData[Project Type],$I$2,
HicRawData[Inventory Type],"C",
HicRawData[Target Population],Chronic_TargetPopulation[[#This Row],[Beds by Target Population]])</calculatedColumnFormula>
    </tableColumn>
    <tableColumn id="4" xr3:uid="{8334CAF3-0A04-4EFF-AE1D-D46E1F836368}" name="Households with only Children" totalsRowFunction="sum" dataDxfId="306" totalsRowDxfId="305" dataCellStyle="0DecWComma&amp;0">
      <calculatedColumnFormula>SUMIFS(HicRawData[CH Beds HH w only Children],
HicRawData[Project Type],$I$2,
HicRawData[Inventory Type],"C",
HicRawData[Target Population],Chronic_TargetPopulation[[#This Row],[Beds by Target Population]])</calculatedColumnFormula>
    </tableColumn>
    <tableColumn id="5" xr3:uid="{6895DAE5-EC0C-49C0-9D59-FA2FA89CE0CB}" name="Total Year-Round Beds" totalsRowFunction="sum" dataDxfId="304" totalsRowDxfId="303" dataCellStyle="0DecWComma&amp;0">
      <calculatedColumnFormula>SUM(Chronic_TargetPopulation[[#This Row],[Households without Children]:[Households with only Children]])</calculatedColumnFormula>
    </tableColumn>
  </tableColumns>
  <tableStyleInfo name="HDXTableStyle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9AB38CD5-35D3-411B-92EC-0925C24C7DF8}" name="Chronic_InventoryType" displayName="Chronic_InventoryType" ref="A26:E29" totalsRowCount="1" headerRowDxfId="302" dataDxfId="301" totalsRowDxfId="300">
  <tableColumns count="5">
    <tableColumn id="1" xr3:uid="{0F480546-2E4E-4B64-A715-1286702951AB}" name="Beds by Inventory Type" totalsRowLabel="Total" dataDxfId="299" totalsRowDxfId="298"/>
    <tableColumn id="2" xr3:uid="{03A40574-4580-4889-BF25-D2252BD382B9}" name="Households without Children" totalsRowFunction="sum" dataDxfId="297" totalsRowDxfId="296" dataCellStyle="0DecWComma&amp;0">
      <calculatedColumnFormula>SUMIFS(HicRawData[CH Beds HH w/o Children],
HicRawData[Project Type],$I$2,
HicRawData[Inventory Type],$I27)</calculatedColumnFormula>
    </tableColumn>
    <tableColumn id="3" xr3:uid="{E6E4CBE6-6EB9-440E-96F8-4E2B41779AB6}" name="Households with Children" totalsRowFunction="sum" dataDxfId="295" totalsRowDxfId="294" dataCellStyle="0DecWComma&amp;0">
      <calculatedColumnFormula>SUMIFS(HicRawData[CH Beds HH w/ Children],
HicRawData[Project Type],$I$2,
HicRawData[Inventory Type],$I27)</calculatedColumnFormula>
    </tableColumn>
    <tableColumn id="4" xr3:uid="{56ECD853-AD9E-4D1A-A9B0-B9A81311DE3C}" name="Households with only Children" totalsRowFunction="sum" dataDxfId="293" totalsRowDxfId="292" dataCellStyle="0DecWComma&amp;0">
      <calculatedColumnFormula>SUMIFS(HicRawData[CH Beds HH w only Children],
HicRawData[Project Type],$I$2,
HicRawData[Inventory Type],$I27)</calculatedColumnFormula>
    </tableColumn>
    <tableColumn id="5" xr3:uid="{67B2DBB0-59F9-4159-A829-BF00362BFDD6}" name="Total Year-Round Beds" totalsRowFunction="sum" dataDxfId="291" totalsRowDxfId="290" dataCellStyle="0DecWComma&amp;0">
      <calculatedColumnFormula>SUM(Chronic_InventoryType[[#This Row],[Households without Children]:[Households with only Children]])</calculatedColumnFormula>
    </tableColumn>
  </tableColumns>
  <tableStyleInfo name="HDXTableStyle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354AC8C-87EE-4120-BC4F-ACB40726976C}" name="AllBeds_InventoryType" displayName="AllBeds_InventoryType" ref="A26:E29" totalsRowCount="1" headerRowDxfId="843" dataDxfId="842" totalsRowDxfId="841">
  <tableColumns count="5">
    <tableColumn id="1" xr3:uid="{B5C6C003-17DF-430D-9DFB-03CC88682AEC}" name="Beds by Inventory Type" totalsRowLabel="Total" dataDxfId="840" totalsRowDxfId="839"/>
    <tableColumn id="2" xr3:uid="{DFCF5BFC-A3ED-4883-8615-A584EF1AC348}" name="Households without Children" totalsRowFunction="sum" dataDxfId="838" totalsRowDxfId="837" dataCellStyle="0DecWComma&amp;0">
      <calculatedColumnFormula>SUMIFS(HicRawData[Beds HH w/o Children],
HicRawData[Project Type],$I$2,
HicRawData[Inventory Type],$I27)</calculatedColumnFormula>
    </tableColumn>
    <tableColumn id="3" xr3:uid="{9C7FE678-F52D-479B-B402-C01FA1EA3D88}" name="Households with Children" totalsRowFunction="sum" dataDxfId="836" totalsRowDxfId="835" dataCellStyle="0DecWComma&amp;0">
      <calculatedColumnFormula>SUMIFS(HicRawData[Beds HH w/ Children],
HicRawData[Project Type],$I$2,
HicRawData[Inventory Type],$I27)</calculatedColumnFormula>
    </tableColumn>
    <tableColumn id="4" xr3:uid="{0E6304C5-8E17-4CD3-BBA1-874C954056E2}" name="Households with only Children" totalsRowFunction="sum" dataDxfId="834" totalsRowDxfId="833" dataCellStyle="0DecWComma&amp;0">
      <calculatedColumnFormula>SUMIFS(HicRawData[Beds HH w/ only Children],
HicRawData[Project Type],$I$2,
HicRawData[Inventory Type],$I27)</calculatedColumnFormula>
    </tableColumn>
    <tableColumn id="5" xr3:uid="{D402E3C1-DA93-451A-AD42-BC5117735EE6}" name="Total Year-Round Beds" totalsRowFunction="sum" dataDxfId="832" totalsRowDxfId="831" dataCellStyle="0DecWComma&amp;0">
      <calculatedColumnFormula>SUM(AllBeds_InventoryType[[#This Row],[Households without Children]:[Households with only Children]])</calculatedColumnFormula>
    </tableColumn>
  </tableColumns>
  <tableStyleInfo name="HDXTableStyle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4C98EC7-DB24-46AD-A141-B3D4F93302FE}" name="Chronic_ProjectType" displayName="Chronic_ProjectType" ref="A37:E44" totalsRowCount="1" headerRowDxfId="289" dataDxfId="288">
  <tableColumns count="5">
    <tableColumn id="1" xr3:uid="{B10D2353-87E3-4661-9FEA-D01B3BF4A34E}" name="All Beds by Project Type" totalsRowLabel="Total" dataDxfId="287" totalsRowDxfId="286"/>
    <tableColumn id="2" xr3:uid="{EE7926E9-826D-4486-933A-4D1B301590AD}" name="Households without Children" totalsRowFunction="sum" dataDxfId="285" totalsRowDxfId="284" dataCellStyle="0DecWComma&amp;0">
      <calculatedColumnFormula>SUMIFS(HicRawData[CH Beds HH w/o Children],
HicRawData[Project Type],$I$2,
HicRawData[Inventory Type],"C",
HicRawData[Project Type], Chronic_ProjectType[[#This Row],[All Beds by Project Type]])</calculatedColumnFormula>
    </tableColumn>
    <tableColumn id="3" xr3:uid="{386AC603-0947-437B-A0A3-F83429833CC3}" name="Households with Children" totalsRowFunction="sum" dataDxfId="283" totalsRowDxfId="282" dataCellStyle="0DecWComma&amp;0">
      <calculatedColumnFormula>SUMIFS(HicRawData[CH Beds HH w/ Children],
HicRawData[Project Type],$I$2,
HicRawData[Inventory Type],"C",
HicRawData[Project Type], Chronic_ProjectType[[#This Row],[All Beds by Project Type]])</calculatedColumnFormula>
    </tableColumn>
    <tableColumn id="4" xr3:uid="{5A85CAAF-6DFB-4E08-942E-3197EAE6B496}" name="Households with only Children" totalsRowFunction="sum" dataDxfId="281" totalsRowDxfId="280" dataCellStyle="0DecWComma&amp;0">
      <calculatedColumnFormula>SUMIFS(HicRawData[CH Beds HH w only Children],
HicRawData[Project Type],$I$2,
HicRawData[Inventory Type],"C",
HicRawData[Project Type], Chronic_ProjectType[[#This Row],[All Beds by Project Type]])</calculatedColumnFormula>
    </tableColumn>
    <tableColumn id="5" xr3:uid="{6FC334ED-18AA-4C07-9B63-7D9E877837A4}" name="Total Year-Round Beds" totalsRowFunction="sum" dataDxfId="279" totalsRowDxfId="278" dataCellStyle="0DecWComma&amp;0">
      <calculatedColumnFormula>SUM(Chronic_ProjectType[[#This Row],[Households without Children]:[Households with only Children]])</calculatedColumnFormula>
    </tableColumn>
  </tableColumns>
  <tableStyleInfo name="HDXTableStyle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369A4356-B311-442B-869D-5E1220B82867}" name="Chronic_ProjectTypeHmisParticipation" displayName="Chronic_ProjectTypeHmisParticipation" ref="A46:E53" totalsRowCount="1" headerRowDxfId="277" dataDxfId="276">
  <tableColumns count="5">
    <tableColumn id="1" xr3:uid="{9082F361-EEF6-4B06-85C1-361CAD396ACB}" name="HMIS Beds by Project Type" totalsRowLabel="Total" dataDxfId="275" totalsRowDxfId="274"/>
    <tableColumn id="2" xr3:uid="{8880BDD7-FE87-4331-9254-B98E89D9B8C2}" name="Households without Children" totalsRowFunction="sum" dataDxfId="273" totalsRowDxfId="272" dataCellStyle="0DecWComma&amp;0" totalsRowCellStyle="0DecWComma&amp;0">
      <calculatedColumnFormula>SUMIFS(HicRawData[CH Beds HH w/o Children],
HicRawData[Project Type],$I$2,
HicRawData[Inventory Type],"C",
HicRawData[Project Type], Chronic_ProjectTypeHmisParticipation[[#This Row],[HMIS Beds by Project Type]],
HicRawData[HMIS Participating], "Yes")</calculatedColumnFormula>
    </tableColumn>
    <tableColumn id="3" xr3:uid="{C0E91EBC-A34A-4FD1-85D1-18D9F784480C}" name="Households with Children" totalsRowFunction="sum" dataDxfId="271" totalsRowDxfId="270" dataCellStyle="0DecWComma&amp;0" totalsRowCellStyle="0DecWComma&amp;0">
      <calculatedColumnFormula>SUMIFS(HicRawData[CH Beds HH w/ Children],
HicRawData[Project Type],$I$2,
HicRawData[Inventory Type],"C",
HicRawData[Project Type], Chronic_ProjectTypeHmisParticipation[[#This Row],[HMIS Beds by Project Type]],
HicRawData[HMIS Participating], "Yes")</calculatedColumnFormula>
    </tableColumn>
    <tableColumn id="4" xr3:uid="{23312241-380D-4E0E-B7E7-C02FD2BD94CF}" name="Households with only Children" totalsRowFunction="sum" dataDxfId="269" totalsRowDxfId="268" dataCellStyle="0DecWComma&amp;0" totalsRowCellStyle="0DecWComma&amp;0">
      <calculatedColumnFormula>SUMIFS(HicRawData[CH Beds HH w only Children],
HicRawData[Project Type],$I$2,
HicRawData[Inventory Type],"C",
HicRawData[Project Type], Chronic_ProjectTypeHmisParticipation[[#This Row],[HMIS Beds by Project Type]],
HicRawData[HMIS Participating], "Yes")</calculatedColumnFormula>
    </tableColumn>
    <tableColumn id="5" xr3:uid="{6BDB2C37-D182-4BFD-9033-05B7E785BBC3}" name="Total Year-Round Beds" totalsRowFunction="sum" totalsRowDxfId="267" dataCellStyle="0DecWComma&amp;0" totalsRowCellStyle="0DecWComma&amp;0">
      <calculatedColumnFormula>B47+C47+D47</calculatedColumnFormula>
    </tableColumn>
  </tableColumns>
  <tableStyleInfo name="HDXTableStyle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F34C9F2A-52F9-4ABB-BC48-569A6B5351BA}" name="Vets_HmisParticipation" displayName="Vets_HmisParticipation" ref="A6:E10" totalsRowCount="1" headerRowDxfId="266" dataDxfId="265" totalsRowDxfId="264">
  <tableColumns count="5">
    <tableColumn id="1" xr3:uid="{5593437E-34FF-4440-BA0B-E863FCD03E14}" name="Beds by HMIS Participation" totalsRowLabel="Total" dataDxfId="263" totalsRowDxfId="262"/>
    <tableColumn id="2" xr3:uid="{F007AEFE-A586-4BA7-94E7-BA40559337B1}" name="Households without Children" totalsRowFunction="sum" dataDxfId="261" totalsRowDxfId="260" dataCellStyle="0DecWComma&amp;0" totalsRowCellStyle="0DecWComma&amp;0">
      <calculatedColumnFormula>SUMIFS(HicRawData[Veteran Beds HH w/o Children],
HicRawData[Project Type],$I$2,
HicRawData[Inventory Type],"C",
HicRawData[HMIS Participating],$I7)</calculatedColumnFormula>
    </tableColumn>
    <tableColumn id="3" xr3:uid="{8643DB4D-F522-43D6-A3B6-5A843490EABA}" name="Households with Children" totalsRowFunction="sum" dataDxfId="259" totalsRowDxfId="258" dataCellStyle="0DecWComma&amp;0" totalsRowCellStyle="0DecWComma&amp;0">
      <calculatedColumnFormula>SUMIFS(HicRawData[Veteran Beds HH w/ Children],
HicRawData[Project Type],$I$2,
HicRawData[Inventory Type],"C",
HicRawData[HMIS Participating],$I7)</calculatedColumnFormula>
    </tableColumn>
    <tableColumn id="4" xr3:uid="{91DC35D9-09BD-496B-85A6-017A4BFF7E1D}" name="Households with only Children" totalsRowFunction="sum" dataDxfId="257" totalsRowDxfId="256" dataCellStyle="0DecWComma&amp;0" totalsRowCellStyle="0DecWComma&amp;0"/>
    <tableColumn id="5" xr3:uid="{D7D1A3FB-54E8-4AC9-9C2E-3782413C6127}" name="Total Year-Round Beds" totalsRowFunction="sum" dataDxfId="255" totalsRowDxfId="254" dataCellStyle="0DecWComma&amp;0" totalsRowCellStyle="0DecWComma&amp;0">
      <calculatedColumnFormula>SUM(Vets_HmisParticipation[[#This Row],[Households without Children]:[Households with only Children]])</calculatedColumnFormula>
    </tableColumn>
  </tableColumns>
  <tableStyleInfo name="HDXTableStyle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902E91C7-359C-4364-8960-2D7535227EFD}" name="Vets_NonVspHmisParticipation" displayName="Vets_NonVspHmisParticipation" ref="A13:E17" totalsRowCount="1" headerRowDxfId="253" dataDxfId="252" totalsRowDxfId="251">
  <tableColumns count="5">
    <tableColumn id="1" xr3:uid="{3AA3EF60-BBAA-4852-8533-BE3092B7A1AE}" name="Non-VSP* Beds by HMIS Participation" totalsRowLabel="Total" dataDxfId="250" totalsRowDxfId="249"/>
    <tableColumn id="2" xr3:uid="{D598DD21-E90E-40AB-8219-A8DA0E8A7C51}" name="Households without Children" totalsRowFunction="sum" dataDxfId="248" totalsRowDxfId="247" dataCellStyle="0DecWComma&amp;0" totalsRowCellStyle="0DecWComma&amp;0">
      <calculatedColumnFormula>SUMIFS(HicRawData[Veteran Beds HH w/o Children],
HicRawData[Project Type],$I$2,
HicRawData[Inventory Type],"C",
HicRawData[HMIS Participating],$I14,
HicRawData[Victim Service Provider],0)</calculatedColumnFormula>
    </tableColumn>
    <tableColumn id="3" xr3:uid="{A3D57C09-F6F2-4F9F-9F5A-0BB131CF61FF}" name="Households with Children" totalsRowFunction="sum" dataDxfId="246" totalsRowDxfId="245" dataCellStyle="0DecWComma&amp;0" totalsRowCellStyle="0DecWComma&amp;0">
      <calculatedColumnFormula>SUMIFS(HicRawData[Veteran Beds HH w/ Children],
HicRawData[Project Type],$I$2,
HicRawData[Inventory Type],"C",
HicRawData[HMIS Participating],$I14,
HicRawData[Victim Service Provider],0)</calculatedColumnFormula>
    </tableColumn>
    <tableColumn id="4" xr3:uid="{1E1AE29C-982D-4CED-BE7F-F105A3188065}" name="Households with only Children" totalsRowFunction="sum" dataDxfId="244" totalsRowDxfId="243" dataCellStyle="0DecWComma&amp;0" totalsRowCellStyle="0DecWComma&amp;0"/>
    <tableColumn id="5" xr3:uid="{B5ADFFF2-B72B-4E19-95FA-67D63A4945C0}" name="Total Year-Round Beds" totalsRowFunction="sum" dataDxfId="242" totalsRowDxfId="241" dataCellStyle="0DecWComma&amp;0" totalsRowCellStyle="0DecWComma&amp;0">
      <calculatedColumnFormula>SUM(Vets_NonVspHmisParticipation[[#This Row],[Households without Children]:[Households with only Children]])</calculatedColumnFormula>
    </tableColumn>
  </tableColumns>
  <tableStyleInfo name="HDXTableStyle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C32FF4D-726E-42D5-BF07-8A9F36AECA8C}" name="Vets_TargetPopulation" displayName="Vets_TargetPopulation" ref="A20:E24" totalsRowCount="1" headerRowDxfId="240" dataDxfId="239" totalsRowDxfId="238">
  <tableColumns count="5">
    <tableColumn id="1" xr3:uid="{32E68868-652C-4FFA-87A7-F54D65DD091D}" name="Beds by Target Population" totalsRowLabel="Total" dataDxfId="237" totalsRowDxfId="236"/>
    <tableColumn id="2" xr3:uid="{A7F229B8-AA9A-4F8B-BB3D-18FDFA375963}" name="Households without Children" totalsRowFunction="sum" dataDxfId="235" totalsRowDxfId="234" dataCellStyle="0DecWComma&amp;0">
      <calculatedColumnFormula>SUMIFS(HicRawData[Veteran Beds HH w/o Children],
HicRawData[Project Type],$I$2,
HicRawData[Inventory Type],"C",
HicRawData[Target Population],Vets_TargetPopulation[[#This Row],[Beds by Target Population]])</calculatedColumnFormula>
    </tableColumn>
    <tableColumn id="3" xr3:uid="{68875845-C732-42E7-8EE8-E202AB1DDB60}" name="Households with Children" totalsRowFunction="sum" dataDxfId="233" totalsRowDxfId="232" dataCellStyle="0DecWComma&amp;0">
      <calculatedColumnFormula>SUMIFS(HicRawData[Veteran Beds HH w/ Children],
HicRawData[Project Type],$I$2,
HicRawData[Inventory Type],"C",
HicRawData[Target Population],Vets_TargetPopulation[[#This Row],[Beds by Target Population]])</calculatedColumnFormula>
    </tableColumn>
    <tableColumn id="4" xr3:uid="{6BAD0166-F2D2-4569-A5BB-36DDB6B69B41}" name="Households with only Children" totalsRowFunction="sum" dataDxfId="231" totalsRowDxfId="230" dataCellStyle="0DecWComma&amp;0"/>
    <tableColumn id="5" xr3:uid="{5EC11748-0401-43D8-BFF6-ACDED1FC54E6}" name="Total Year-Round Beds" totalsRowFunction="sum" dataDxfId="229" totalsRowDxfId="228" dataCellStyle="0DecWComma&amp;0">
      <calculatedColumnFormula>SUM(Vets_TargetPopulation[[#This Row],[Households without Children]:[Households with only Children]])</calculatedColumnFormula>
    </tableColumn>
  </tableColumns>
  <tableStyleInfo name="HDXTableStyle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C019B2C6-903B-496F-BFC8-B385500C543F}" name="Vets_InventoryType" displayName="Vets_InventoryType" ref="A26:E29" totalsRowCount="1" headerRowDxfId="227" dataDxfId="226" totalsRowDxfId="225">
  <tableColumns count="5">
    <tableColumn id="1" xr3:uid="{DE46291D-A35C-4AC2-A4CC-24497F67D541}" name="Beds by Inventory Type" totalsRowLabel="Total" dataDxfId="224" totalsRowDxfId="223"/>
    <tableColumn id="2" xr3:uid="{03DDFC58-5BFE-4A43-B2FD-86DF237088FB}" name="Households without Children" totalsRowFunction="sum" dataDxfId="222" totalsRowDxfId="221" dataCellStyle="0DecWComma&amp;0">
      <calculatedColumnFormula>SUMIFS(HicRawData[Veteran Beds HH w/o Children],
HicRawData[Project Type],$I$2,
HicRawData[Inventory Type],$I27)</calculatedColumnFormula>
    </tableColumn>
    <tableColumn id="3" xr3:uid="{A7BAF3E2-4127-4952-90E4-2AF193C08EED}" name="Households with Children" totalsRowFunction="sum" dataDxfId="220" totalsRowDxfId="219" dataCellStyle="0DecWComma&amp;0">
      <calculatedColumnFormula>SUMIFS(HicRawData[Veteran Beds HH w/ Children],
HicRawData[Project Type],$I$2,
HicRawData[Inventory Type],$I27)</calculatedColumnFormula>
    </tableColumn>
    <tableColumn id="4" xr3:uid="{2EE4D13B-AD31-4811-B4D9-74E6E83A265D}" name="Households with only Children" totalsRowFunction="sum" dataDxfId="218" totalsRowDxfId="217" dataCellStyle="0DecWComma&amp;0"/>
    <tableColumn id="5" xr3:uid="{8E481E35-254B-4955-A53F-AB2814FB30E9}" name="Total Year-Round Beds" totalsRowFunction="sum" dataDxfId="216" totalsRowDxfId="215" dataCellStyle="0DecWComma&amp;0">
      <calculatedColumnFormula>SUM(Vets_InventoryType[[#This Row],[Households without Children]:[Households with only Children]])</calculatedColumnFormula>
    </tableColumn>
  </tableColumns>
  <tableStyleInfo name="HDXTableStyle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836244A8-8714-43FA-9832-8EF0A2445432}" name="Vets_ProjectType" displayName="Vets_ProjectType" ref="A37:E44" totalsRowCount="1" headerRowDxfId="214" dataDxfId="213">
  <tableColumns count="5">
    <tableColumn id="1" xr3:uid="{C7A4F480-BAA5-45E4-953B-A2B93D584A24}" name="All Beds by Project Type" totalsRowLabel="Total" dataDxfId="212" totalsRowDxfId="211"/>
    <tableColumn id="2" xr3:uid="{6EA16C7A-32E5-4BFA-A2E5-29FA2C400454}" name="Households without Children" totalsRowFunction="sum" dataDxfId="210" totalsRowDxfId="209" dataCellStyle="0DecWComma&amp;0">
      <calculatedColumnFormula>SUMIFS(HicRawData[Veteran Beds HH w/o Children],
HicRawData[Project Type],$I$2,
HicRawData[Inventory Type],"C",
HicRawData[Project Type], Vets_ProjectType[[#This Row],[All Beds by Project Type]])</calculatedColumnFormula>
    </tableColumn>
    <tableColumn id="3" xr3:uid="{DA80356E-0F85-4D64-98E6-71F17101AAF7}" name="Households with Children" totalsRowFunction="sum" dataDxfId="208" totalsRowDxfId="207" dataCellStyle="0DecWComma&amp;0">
      <calculatedColumnFormula>SUMIFS(HicRawData[Veteran Beds HH w/ Children],
HicRawData[Project Type],$I$2,
HicRawData[Inventory Type],"C",
HicRawData[Project Type], Vets_ProjectType[[#This Row],[All Beds by Project Type]])</calculatedColumnFormula>
    </tableColumn>
    <tableColumn id="4" xr3:uid="{F857F680-BFFF-4B51-8733-9368859D61A6}" name="Households with only Children" totalsRowFunction="sum" dataDxfId="206" totalsRowDxfId="205" dataCellStyle="0DecWComma&amp;0"/>
    <tableColumn id="5" xr3:uid="{BDEDFE14-FB7D-4D33-A79F-F33F57A58C10}" name="Total Year-Round Beds" totalsRowFunction="sum" dataDxfId="204" totalsRowDxfId="203" dataCellStyle="0DecWComma&amp;0">
      <calculatedColumnFormula>SUM(Vets_ProjectType[[#This Row],[Households without Children]:[Households with only Children]])</calculatedColumnFormula>
    </tableColumn>
  </tableColumns>
  <tableStyleInfo name="HDXTableStyle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317A33F6-7B1B-4A18-B990-F57628C2BABD}" name="Vets_ProjectTypeHmisParticipation" displayName="Vets_ProjectTypeHmisParticipation" ref="A46:E53" totalsRowCount="1" headerRowDxfId="202" dataDxfId="201">
  <tableColumns count="5">
    <tableColumn id="1" xr3:uid="{86DAA780-2F63-45A1-B2FD-5D3658221C4D}" name="HMIS Beds by Project Type" totalsRowLabel="Total" dataDxfId="200" totalsRowDxfId="199"/>
    <tableColumn id="2" xr3:uid="{AFB84E09-EEF7-4DE0-8703-BE8EA09491C1}" name="Households without Children" totalsRowFunction="sum" dataDxfId="198" totalsRowDxfId="197" dataCellStyle="0DecWComma&amp;0" totalsRowCellStyle="0DecWComma&amp;0">
      <calculatedColumnFormula>SUMIFS(HicRawData[Veteran Beds HH w/o Children],
HicRawData[Project Type],$I$2,
HicRawData[Inventory Type],"C",
HicRawData[Project Type], Vets_ProjectTypeHmisParticipation[[#This Row],[HMIS Beds by Project Type]],
HicRawData[HMIS Participating], "Yes")</calculatedColumnFormula>
    </tableColumn>
    <tableColumn id="3" xr3:uid="{A49CA9B0-94C5-427A-B7BA-14F68723CA43}" name="Households with Children" totalsRowFunction="sum" dataDxfId="196" totalsRowDxfId="195" dataCellStyle="0DecWComma&amp;0" totalsRowCellStyle="0DecWComma&amp;0">
      <calculatedColumnFormula>SUMIFS(HicRawData[Veteran Beds HH w/ Children],
HicRawData[Project Type],$I$2,
HicRawData[Inventory Type],"C",
HicRawData[Project Type], Vets_ProjectTypeHmisParticipation[[#This Row],[HMIS Beds by Project Type]],
HicRawData[HMIS Participating], "Yes")</calculatedColumnFormula>
    </tableColumn>
    <tableColumn id="4" xr3:uid="{55B07AA9-1F60-4710-9051-E2C79526A878}" name="Households with only Children" totalsRowFunction="sum" dataDxfId="194" totalsRowDxfId="193" dataCellStyle="0DecWComma&amp;0" totalsRowCellStyle="0DecWComma&amp;0"/>
    <tableColumn id="5" xr3:uid="{CA1AF190-FECB-4920-A94B-2BE08AEBC65B}" name="Total Year-Round Beds" totalsRowFunction="sum" totalsRowDxfId="192" dataCellStyle="0DecWComma&amp;0" totalsRowCellStyle="0DecWComma&amp;0">
      <calculatedColumnFormula>B47+C47+D47</calculatedColumnFormula>
    </tableColumn>
  </tableColumns>
  <tableStyleInfo name="HDXTableStyle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83604D65-0B62-4CC6-9CD6-81FB0773AE1D}" name="Youth_HmisParticipation" displayName="Youth_HmisParticipation" ref="A6:E10" totalsRowCount="1" headerRowDxfId="191" dataDxfId="190" totalsRowDxfId="189">
  <tableColumns count="5">
    <tableColumn id="1" xr3:uid="{C9A403C4-E07F-4DE5-AA7D-D66C23BE3CEC}" name="Beds by HMIS Participation" totalsRowLabel="Total" dataDxfId="188" totalsRowDxfId="187"/>
    <tableColumn id="2" xr3:uid="{B85DCF98-D18F-44BE-9614-B8407F5EAD41}" name="Households without Children" totalsRowFunction="sum" dataDxfId="186" totalsRowDxfId="185" dataCellStyle="0DecWComma&amp;0" totalsRowCellStyle="0DecWComma&amp;0">
      <calculatedColumnFormula>SUMIFS(HicRawData[Youth Beds HH w/o Children],
HicRawData[Project Type],$I$2,
HicRawData[Inventory Type],"C",
HicRawData[HMIS Participating],$I7)</calculatedColumnFormula>
    </tableColumn>
    <tableColumn id="3" xr3:uid="{7065279C-8589-4B2E-B545-66D097474BED}" name="Households with Children" totalsRowFunction="sum" dataDxfId="184" totalsRowDxfId="183" dataCellStyle="0DecWComma&amp;0" totalsRowCellStyle="0DecWComma&amp;0">
      <calculatedColumnFormula>SUMIFS(HicRawData[Youth Beds HH w/ Children],
HicRawData[Project Type],$I$2,
HicRawData[Inventory Type],"C",
HicRawData[HMIS Participating],$I7)</calculatedColumnFormula>
    </tableColumn>
    <tableColumn id="4" xr3:uid="{79AB7DFD-7815-45BB-9A8E-997CF6DB5544}" name="Households with only Children" totalsRowFunction="sum" dataDxfId="182" totalsRowDxfId="181" dataCellStyle="0DecWComma&amp;0" totalsRowCellStyle="0DecWComma&amp;0"/>
    <tableColumn id="5" xr3:uid="{D34E06E9-D042-4CC2-9CBF-CC60F5A2B6D8}" name="Total Year-Round Beds" totalsRowFunction="sum" dataDxfId="180" totalsRowDxfId="179" dataCellStyle="0DecWComma&amp;0" totalsRowCellStyle="0DecWComma&amp;0">
      <calculatedColumnFormula>SUM(Youth_HmisParticipation[[#This Row],[Households without Children]:[Households with only Children]])</calculatedColumnFormula>
    </tableColumn>
  </tableColumns>
  <tableStyleInfo name="HDXTableStyle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8139B41-ADD1-4B21-BA06-27D21B5C6806}" name="Youth_NonVspHmisParticipation" displayName="Youth_NonVspHmisParticipation" ref="A13:E17" totalsRowCount="1" headerRowDxfId="178" dataDxfId="177" totalsRowDxfId="176">
  <tableColumns count="5">
    <tableColumn id="1" xr3:uid="{FC633C3C-FB8B-4EA8-92FB-6610B35BB605}" name="Non-VSP* Beds by HMIS Participation" totalsRowLabel="Total" dataDxfId="175" totalsRowDxfId="174"/>
    <tableColumn id="2" xr3:uid="{8B154D02-89BC-42D4-8596-6F28CFBA489F}" name="Households without Children" totalsRowFunction="sum" dataDxfId="173" totalsRowDxfId="172" dataCellStyle="0DecWComma&amp;0" totalsRowCellStyle="0DecWComma&amp;0">
      <calculatedColumnFormula>SUMIFS(HicRawData[Youth Beds HH w/o Children],
HicRawData[Project Type],$I$2,
HicRawData[Inventory Type],"C",
HicRawData[HMIS Participating],$I14,
HicRawData[Victim Service Provider],0)</calculatedColumnFormula>
    </tableColumn>
    <tableColumn id="3" xr3:uid="{76A3635B-89E3-4432-B2DE-020F9A9AB3EE}" name="Households with Children" totalsRowFunction="sum" dataDxfId="171" totalsRowDxfId="170" dataCellStyle="0DecWComma&amp;0" totalsRowCellStyle="0DecWComma&amp;0">
      <calculatedColumnFormula>SUMIFS(HicRawData[Youth Beds HH w/ Children],
HicRawData[Project Type],$I$2,
HicRawData[Inventory Type],"C",
HicRawData[HMIS Participating],$I14,
HicRawData[Victim Service Provider],0)</calculatedColumnFormula>
    </tableColumn>
    <tableColumn id="4" xr3:uid="{9BD2D1C3-490E-4AB5-A78C-216A6E1F7346}" name="Households with only Children" totalsRowFunction="sum" dataDxfId="169" totalsRowDxfId="168" dataCellStyle="0DecWComma&amp;0" totalsRowCellStyle="0DecWComma&amp;0"/>
    <tableColumn id="5" xr3:uid="{05B5CB90-664D-4535-808B-116A22DEBB31}" name="Total Year-Round Beds" totalsRowFunction="sum" dataDxfId="167" totalsRowDxfId="166" dataCellStyle="0DecWComma&amp;0" totalsRowCellStyle="0DecWComma&amp;0">
      <calculatedColumnFormula>SUM(Youth_NonVspHmisParticipation[[#This Row],[Households without Children]:[Households with only Children]])</calculatedColumnFormula>
    </tableColumn>
  </tableColumns>
  <tableStyleInfo name="HDXTableStyle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223C9FA-F8ED-42C0-9191-DF50E8AA5200}" name="AllBeds_ProjectType" displayName="AllBeds_ProjectType" ref="A37:E44" totalsRowCount="1" headerRowDxfId="830" dataDxfId="829">
  <tableColumns count="5">
    <tableColumn id="1" xr3:uid="{D4F0C4F8-F031-4BD7-88C1-06DB7BEB1921}" name="All Beds by Project Type" totalsRowLabel="Total" dataDxfId="828" totalsRowDxfId="827"/>
    <tableColumn id="2" xr3:uid="{13FC7304-C27C-42E2-A4EB-2BF07FD60A6B}" name="Households without Children" totalsRowFunction="sum" dataDxfId="826" totalsRowDxfId="825" dataCellStyle="0DecWComma&amp;0">
      <calculatedColumnFormula>SUMIFS(HicRawData[Beds HH w/o Children],
HicRawData[Project Type],$I$2,
HicRawData[Inventory Type],"C",
HicRawData[Project Type], AllBeds_ProjectType[[#This Row],[All Beds by Project Type]])</calculatedColumnFormula>
    </tableColumn>
    <tableColumn id="3" xr3:uid="{32816228-5531-4C8B-B5E3-5DEEACD6684A}" name="Households with Children" totalsRowFunction="sum" dataDxfId="824" totalsRowDxfId="823" dataCellStyle="0DecWComma&amp;0">
      <calculatedColumnFormula>SUMIFS(HicRawData[Beds HH w/ Children],
HicRawData[Project Type],$I$2,
HicRawData[Inventory Type],"C",
HicRawData[Project Type], AllBeds_ProjectType[[#This Row],[All Beds by Project Type]])</calculatedColumnFormula>
    </tableColumn>
    <tableColumn id="4" xr3:uid="{589F4BCE-7A26-42EA-B155-2415D94211F8}" name="Households with only Children" totalsRowFunction="sum" dataDxfId="822" totalsRowDxfId="821" dataCellStyle="0DecWComma&amp;0">
      <calculatedColumnFormula>SUMIFS(HicRawData[Beds HH w/ only Children],
HicRawData[Project Type],$I$2,
HicRawData[Inventory Type],"C",
HicRawData[Project Type], AllBeds_ProjectType[[#This Row],[All Beds by Project Type]])</calculatedColumnFormula>
    </tableColumn>
    <tableColumn id="5" xr3:uid="{1A7CEC81-77F6-4D6A-800E-5E59EB9A4887}" name="Total Year-Round Beds" totalsRowFunction="sum" dataDxfId="820" totalsRowDxfId="819" dataCellStyle="0DecWComma&amp;0">
      <calculatedColumnFormula>SUM(AllBeds_ProjectType[[#This Row],[Households without Children]:[Households with only Children]])</calculatedColumnFormula>
    </tableColumn>
  </tableColumns>
  <tableStyleInfo name="HDXTableStyle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8C49A017-B932-4C47-B943-C8C14D55BB28}" name="Youth_TargetPopulation" displayName="Youth_TargetPopulation" ref="A20:E24" totalsRowCount="1" headerRowDxfId="165" dataDxfId="164" totalsRowDxfId="163">
  <tableColumns count="5">
    <tableColumn id="1" xr3:uid="{C2361609-DF91-4901-91FF-2F912B2309A7}" name="Beds by Target Population" totalsRowLabel="Total" dataDxfId="162" totalsRowDxfId="161"/>
    <tableColumn id="2" xr3:uid="{1F88EC78-AE3F-4C26-9439-7B4B018064E2}" name="Households without Children" totalsRowFunction="sum" dataDxfId="160" totalsRowDxfId="159" dataCellStyle="0DecWComma&amp;0">
      <calculatedColumnFormula>SUMIFS(HicRawData[Youth Beds HH w/o Children],
HicRawData[Project Type],$I$2,
HicRawData[Inventory Type],"C",
HicRawData[Target Population],Youth_TargetPopulation[[#This Row],[Beds by Target Population]])</calculatedColumnFormula>
    </tableColumn>
    <tableColumn id="3" xr3:uid="{43B87CD2-8F12-46A1-8884-86F905234719}" name="Households with Children" totalsRowFunction="sum" dataDxfId="158" totalsRowDxfId="157" dataCellStyle="0DecWComma&amp;0">
      <calculatedColumnFormula>SUMIFS(HicRawData[Youth Beds HH w/ Children],
HicRawData[Project Type],$I$2,
HicRawData[Inventory Type],"C",
HicRawData[Target Population],Youth_TargetPopulation[[#This Row],[Beds by Target Population]])</calculatedColumnFormula>
    </tableColumn>
    <tableColumn id="4" xr3:uid="{64FF80CA-30F5-4DE7-BD67-5BA8922D54B5}" name="Households with only Children" totalsRowFunction="sum" dataDxfId="156" totalsRowDxfId="155" dataCellStyle="0DecWComma&amp;0"/>
    <tableColumn id="5" xr3:uid="{CC172980-CEDA-4D4E-9824-28E4D49B2271}" name="Total Year-Round Beds" totalsRowFunction="sum" dataDxfId="154" totalsRowDxfId="153" dataCellStyle="0DecWComma&amp;0">
      <calculatedColumnFormula>SUM(Youth_TargetPopulation[[#This Row],[Households without Children]:[Households with only Children]])</calculatedColumnFormula>
    </tableColumn>
  </tableColumns>
  <tableStyleInfo name="HDXTableStyle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B88A0B12-38FB-4DBA-AE5B-0FD2557AF9D1}" name="Youth_InventoryType" displayName="Youth_InventoryType" ref="A26:E29" totalsRowCount="1" headerRowDxfId="152" dataDxfId="151" totalsRowDxfId="150">
  <tableColumns count="5">
    <tableColumn id="1" xr3:uid="{AF9E39DF-9BBF-49D2-B273-29E61F099F60}" name="Beds by Inventory Type" totalsRowLabel="Total" dataDxfId="149" totalsRowDxfId="148"/>
    <tableColumn id="2" xr3:uid="{A9BC15D7-4251-4635-BE38-1EDA6137445D}" name="Households without Children" totalsRowFunction="sum" dataDxfId="147" totalsRowDxfId="146" dataCellStyle="0DecWComma&amp;0">
      <calculatedColumnFormula>SUMIFS(HicRawData[Youth Beds HH w/o Children],
HicRawData[Project Type],$I$2,
HicRawData[Inventory Type],$I27)</calculatedColumnFormula>
    </tableColumn>
    <tableColumn id="3" xr3:uid="{A42D7682-9E34-4511-B776-0C75CD9B7986}" name="Households with Children" totalsRowFunction="sum" dataDxfId="145" totalsRowDxfId="144" dataCellStyle="0DecWComma&amp;0">
      <calculatedColumnFormula>SUMIFS(HicRawData[Youth Beds HH w/ Children],
HicRawData[Project Type],$I$2,
HicRawData[Inventory Type],$I27)</calculatedColumnFormula>
    </tableColumn>
    <tableColumn id="4" xr3:uid="{3F1ED94D-DE4C-4575-A6D1-8ADD1C6C88CC}" name="Households with only Children" totalsRowFunction="sum" dataDxfId="143" totalsRowDxfId="142" dataCellStyle="0DecWComma&amp;0"/>
    <tableColumn id="5" xr3:uid="{716CA038-925C-4D1F-BF14-2E879484CA5B}" name="Total Year-Round Beds" totalsRowFunction="sum" dataDxfId="141" totalsRowDxfId="140" dataCellStyle="0DecWComma&amp;0">
      <calculatedColumnFormula>SUM(Youth_InventoryType[[#This Row],[Households without Children]:[Households with only Children]])</calculatedColumnFormula>
    </tableColumn>
  </tableColumns>
  <tableStyleInfo name="HDXTableStyle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BF4151BD-54BF-440F-9AFD-71CBCD289EA8}" name="Youth_ProjectType" displayName="Youth_ProjectType" ref="A37:E44" totalsRowCount="1" headerRowDxfId="139" dataDxfId="138">
  <tableColumns count="5">
    <tableColumn id="1" xr3:uid="{17362912-6C77-41CC-9006-BF1D4428E521}" name="All Beds by Project Type" totalsRowLabel="Total" dataDxfId="137" totalsRowDxfId="136"/>
    <tableColumn id="2" xr3:uid="{B5ACB1BD-A0C5-41D4-A66D-AB0597BB9FD5}" name="Households without Children" totalsRowFunction="sum" dataDxfId="135" totalsRowDxfId="134" dataCellStyle="0DecWComma&amp;0">
      <calculatedColumnFormula>SUMIFS(HicRawData[Youth Beds HH w/o Children],
HicRawData[Project Type],$I$2,
HicRawData[Inventory Type],"C",
HicRawData[Project Type], Youth_ProjectType[[#This Row],[All Beds by Project Type]])</calculatedColumnFormula>
    </tableColumn>
    <tableColumn id="3" xr3:uid="{BFD967B2-90F7-4C2B-8E9D-FF35F2A0DECC}" name="Households with Children" totalsRowFunction="sum" dataDxfId="133" totalsRowDxfId="132" dataCellStyle="0DecWComma&amp;0">
      <calculatedColumnFormula>SUMIFS(HicRawData[Youth Beds HH w/ Children],
HicRawData[Project Type],$I$2,
HicRawData[Inventory Type],"C",
HicRawData[Project Type], Youth_ProjectType[[#This Row],[All Beds by Project Type]])</calculatedColumnFormula>
    </tableColumn>
    <tableColumn id="4" xr3:uid="{AA8CFECA-96B8-4F8D-99E2-A3D18A57FBFC}" name="Households with only Children" totalsRowFunction="sum" dataDxfId="131" totalsRowDxfId="130" dataCellStyle="0DecWComma&amp;0"/>
    <tableColumn id="5" xr3:uid="{1C81396A-E7D9-4D35-8723-848714804114}" name="Total Year-Round Beds" totalsRowFunction="sum" dataDxfId="129" totalsRowDxfId="128" dataCellStyle="0DecWComma&amp;0">
      <calculatedColumnFormula>SUM(Youth_ProjectType[[#This Row],[Households without Children]:[Households with only Children]])</calculatedColumnFormula>
    </tableColumn>
  </tableColumns>
  <tableStyleInfo name="HDXTableStyle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B42A0237-7764-4B9A-9B99-C4EB4B667318}" name="Youth_ProjectTypeHmisParticipation" displayName="Youth_ProjectTypeHmisParticipation" ref="A46:E53" totalsRowCount="1" headerRowDxfId="127" dataDxfId="126">
  <tableColumns count="5">
    <tableColumn id="1" xr3:uid="{3F035B92-5BF0-4127-9CF1-0E6E0C85E76A}" name="HMIS Beds by Project Type" totalsRowLabel="Total" dataDxfId="125" totalsRowDxfId="124"/>
    <tableColumn id="2" xr3:uid="{F15A5919-84DE-482F-8473-F9249FA08A47}" name="Households without Children" totalsRowFunction="sum" dataDxfId="123" totalsRowDxfId="122" dataCellStyle="0DecWComma&amp;0" totalsRowCellStyle="0DecWComma&amp;0">
      <calculatedColumnFormula>SUMIFS(HicRawData[Youth Beds HH w/o Children],
HicRawData[Project Type],$I$2,
HicRawData[Inventory Type],"C",
HicRawData[Project Type], Youth_ProjectTypeHmisParticipation[[#This Row],[HMIS Beds by Project Type]],
HicRawData[HMIS Participating], "Yes")</calculatedColumnFormula>
    </tableColumn>
    <tableColumn id="3" xr3:uid="{CBA44E1F-B843-4B06-B7E9-2E09225892A3}" name="Households with Children" totalsRowFunction="sum" dataDxfId="121" totalsRowDxfId="120" dataCellStyle="0DecWComma&amp;0" totalsRowCellStyle="0DecWComma&amp;0">
      <calculatedColumnFormula>SUMIFS(HicRawData[Youth Beds HH w/ Children],
HicRawData[Project Type],$I$2,
HicRawData[Inventory Type],"C",
HicRawData[Project Type], Youth_ProjectTypeHmisParticipation[[#This Row],[HMIS Beds by Project Type]],
HicRawData[HMIS Participating], "Yes")</calculatedColumnFormula>
    </tableColumn>
    <tableColumn id="4" xr3:uid="{DFB259D3-AF84-41C8-A7BC-4DD7428E1228}" name="Households with only Children" totalsRowFunction="sum" dataDxfId="119" totalsRowDxfId="118" dataCellStyle="0DecWComma&amp;0" totalsRowCellStyle="0DecWComma&amp;0"/>
    <tableColumn id="5" xr3:uid="{75BCFD58-F321-4945-B5CD-F2F763A744C7}" name="Total Year-Round Beds" totalsRowFunction="sum" totalsRowDxfId="117" dataCellStyle="0DecWComma&amp;0" totalsRowCellStyle="0DecWComma&amp;0">
      <calculatedColumnFormula>B47+C47+D47</calculatedColumnFormula>
    </tableColumn>
  </tableColumns>
  <tableStyleInfo name="HDXTableStyle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013130A-80BC-49D1-8351-87B01919041E}" name="AllBeds_ProjectTypeHmisParticipation" displayName="AllBeds_ProjectTypeHmisParticipation" ref="A46:E53" totalsRowCount="1" headerRowDxfId="818" dataDxfId="817">
  <tableColumns count="5">
    <tableColumn id="1" xr3:uid="{C9CFE37E-E1C2-4471-AAB8-9DC7252F4287}" name="HMIS Beds by Project Type" totalsRowLabel="Total" dataDxfId="816" totalsRowDxfId="815"/>
    <tableColumn id="2" xr3:uid="{E6C5C566-E10C-4EDE-8F9E-3595B27D530B}" name="Households without Children" totalsRowFunction="sum" dataDxfId="814" totalsRowDxfId="813" dataCellStyle="0DecWComma&amp;0" totalsRowCellStyle="0DecWComma&amp;0">
      <calculatedColumnFormula>SUMIFS(HicRawData[Beds HH w/o Children],
HicRawData[Project Type],$I$2,
HicRawData[Inventory Type],"C",
HicRawData[Project Type], AllBeds_ProjectTypeHmisParticipation[[#This Row],[HMIS Beds by Project Type]],
HicRawData[HMIS Participating], "Yes")</calculatedColumnFormula>
    </tableColumn>
    <tableColumn id="3" xr3:uid="{36C8770F-E133-4805-97D9-3389593A4C79}" name="Households with Children" totalsRowFunction="sum" dataDxfId="812" totalsRowDxfId="811" dataCellStyle="0DecWComma&amp;0" totalsRowCellStyle="0DecWComma&amp;0">
      <calculatedColumnFormula>SUMIFS(HicRawData[Beds HH w/ Children],
HicRawData[Project Type],$I$2,
HicRawData[Inventory Type],"C",
HicRawData[Project Type], AllBeds_ProjectTypeHmisParticipation[[#This Row],[HMIS Beds by Project Type]],
HicRawData[HMIS Participating], "Yes")</calculatedColumnFormula>
    </tableColumn>
    <tableColumn id="4" xr3:uid="{2FF1223F-9241-4A0E-916F-7CE28DBFD8DB}" name="Households with only Children" totalsRowFunction="sum" dataDxfId="810" totalsRowDxfId="809" dataCellStyle="0DecWComma&amp;0" totalsRowCellStyle="0DecWComma&amp;0">
      <calculatedColumnFormula>SUMIFS(HicRawData[Beds HH w/ only Children],
HicRawData[Project Type],$I$2,
HicRawData[Inventory Type],"C",
HicRawData[Project Type], AllBeds_ProjectTypeHmisParticipation[[#This Row],[HMIS Beds by Project Type]],
HicRawData[HMIS Participating], "Yes")</calculatedColumnFormula>
    </tableColumn>
    <tableColumn id="5" xr3:uid="{7C219ADF-08D2-4254-AF18-51B91867A003}" name="Total Year-Round Beds" totalsRowFunction="sum" totalsRowDxfId="808" dataCellStyle="0DecWComma&amp;0" totalsRowCellStyle="0DecWComma&amp;0">
      <calculatedColumnFormula>B47+C47+D47</calculatedColumnFormula>
    </tableColumn>
  </tableColumns>
  <tableStyleInfo name="HDXTableStyle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558E648-0787-4F38-B22E-CABC44454CA7}" name="AllBeds_SeasonalOverflow" displayName="AllBeds_SeasonalOverflow" ref="A31:C35" totalsRowCount="1" headerRowDxfId="807" dataDxfId="806">
  <tableColumns count="3">
    <tableColumn id="1" xr3:uid="{B19C5B88-63B2-4256-A468-112642D9B2BA}" name="Seasonal/Overflow Beds" totalsRowLabel="Total" dataDxfId="805" totalsRowDxfId="804"/>
    <tableColumn id="2" xr3:uid="{D5C37115-2617-4B99-A230-A6242DC214FF}" name="Total Seasonal Beds (Regardless of Availability)" totalsRowFunction="sum" dataDxfId="803" totalsRowDxfId="802" dataCellStyle="0DecWComma&amp;0" totalsRowCellStyle="0DecWComma&amp;0">
      <calculatedColumnFormula>SUMIFS(HicRawData[Total Seasonal Beds],
HicRawData[Project Type],$I$2,
HicRawData[Inventory Type],"C",
HicRawData[HMIS Participating],$I32)</calculatedColumnFormula>
    </tableColumn>
    <tableColumn id="3" xr3:uid="{2C0C47CB-04D4-4AC2-92AF-E6F79607E800}" name="Total Overflow Beds" totalsRowFunction="sum" dataDxfId="801" totalsRowDxfId="800" dataCellStyle="0DecWComma&amp;0" totalsRowCellStyle="0DecWComma&amp;0">
      <calculatedColumnFormula>SUMIFS(HicRawData[O/V Beds],
HicRawData[Project Type],$I$2,
HicRawData[Inventory Type],"C",
HicRawData[HMIS Participating],$I32)</calculatedColumnFormula>
    </tableColumn>
  </tableColumns>
  <tableStyleInfo name="HDXTableStyle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1504316-3555-442F-94E2-405E0A6D386F}" name="ES_HmisParticipation" displayName="ES_HmisParticipation" ref="A6:E10" totalsRowCount="1" headerRowDxfId="799" dataDxfId="798" totalsRowDxfId="797">
  <tableColumns count="5">
    <tableColumn id="1" xr3:uid="{8165972C-A816-46D0-87CE-1E26299F60B6}" name="Beds by HMIS Participation" totalsRowLabel="Total" dataDxfId="796" totalsRowDxfId="795"/>
    <tableColumn id="2" xr3:uid="{2079B7B5-991A-4855-B579-1DC30DD71F92}" name="Households without Children" totalsRowFunction="sum" dataDxfId="794" totalsRowDxfId="793" dataCellStyle="0DecWComma&amp;0" totalsRowCellStyle="0DecWComma&amp;0">
      <calculatedColumnFormula>SUMIFS(HicRawData[Beds HH w/o Children],
HicRawData[Project Type],$I$2,
HicRawData[Inventory Type],"C",
HicRawData[HMIS Participating],$I7)</calculatedColumnFormula>
    </tableColumn>
    <tableColumn id="3" xr3:uid="{45DD00A9-5E34-4EF0-AF42-7652C9C140BB}" name="Households with Children" totalsRowFunction="sum" dataDxfId="792" totalsRowDxfId="791" dataCellStyle="0DecWComma&amp;0" totalsRowCellStyle="0DecWComma&amp;0">
      <calculatedColumnFormula>SUMIFS(HicRawData[Beds HH w/ Children],
HicRawData[Project Type],$I$2,
HicRawData[Inventory Type],"C",
HicRawData[HMIS Participating],$I7)</calculatedColumnFormula>
    </tableColumn>
    <tableColumn id="4" xr3:uid="{59E36E29-D5A8-400E-AB1A-F794ED5AD147}" name="Households with only Children" totalsRowFunction="sum" dataDxfId="790" totalsRowDxfId="789" dataCellStyle="0DecWComma&amp;0" totalsRowCellStyle="0DecWComma&amp;0">
      <calculatedColumnFormula>SUMIFS(HicRawData[Beds HH w/ only Children],
HicRawData[Project Type],$I$2,
HicRawData[Inventory Type],"C",
HicRawData[HMIS Participating],$I7)</calculatedColumnFormula>
    </tableColumn>
    <tableColumn id="5" xr3:uid="{894A1577-84FE-492A-9D1D-0082A192ED17}" name="Total Year-Round Beds" totalsRowFunction="sum" dataDxfId="788" totalsRowDxfId="787" dataCellStyle="0DecWComma&amp;0" totalsRowCellStyle="0DecWComma&amp;0">
      <calculatedColumnFormula>SUM(ES_HmisParticipation[[#This Row],[Households without Children]:[Households with only Children]])</calculatedColumnFormula>
    </tableColumn>
  </tableColumns>
  <tableStyleInfo name="HDXTableStyle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51.xml"/><Relationship Id="rId3" Type="http://schemas.openxmlformats.org/officeDocument/2006/relationships/table" Target="../tables/table46.xml"/><Relationship Id="rId7" Type="http://schemas.openxmlformats.org/officeDocument/2006/relationships/table" Target="../tables/table50.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table" Target="../tables/table47.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57.xml"/><Relationship Id="rId3" Type="http://schemas.openxmlformats.org/officeDocument/2006/relationships/table" Target="../tables/table52.xml"/><Relationship Id="rId7" Type="http://schemas.openxmlformats.org/officeDocument/2006/relationships/table" Target="../tables/table56.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table" Target="../tables/table55.xml"/><Relationship Id="rId5" Type="http://schemas.openxmlformats.org/officeDocument/2006/relationships/table" Target="../tables/table54.xml"/><Relationship Id="rId4" Type="http://schemas.openxmlformats.org/officeDocument/2006/relationships/table" Target="../tables/table53.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63.xml"/><Relationship Id="rId3" Type="http://schemas.openxmlformats.org/officeDocument/2006/relationships/table" Target="../tables/table58.xml"/><Relationship Id="rId7" Type="http://schemas.openxmlformats.org/officeDocument/2006/relationships/table" Target="../tables/table62.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table" Target="../tables/table61.xml"/><Relationship Id="rId5" Type="http://schemas.openxmlformats.org/officeDocument/2006/relationships/table" Target="../tables/table60.xml"/><Relationship Id="rId4" Type="http://schemas.openxmlformats.org/officeDocument/2006/relationships/table" Target="../tables/table5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1.xml"/><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7.xml"/><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table" Target="../tables/table28.xml"/><Relationship Id="rId7" Type="http://schemas.openxmlformats.org/officeDocument/2006/relationships/table" Target="../tables/table32.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8.xml.rels><?xml version="1.0" encoding="UTF-8" standalone="yes"?>
<Relationships xmlns="http://schemas.openxmlformats.org/package/2006/relationships"><Relationship Id="rId8" Type="http://schemas.openxmlformats.org/officeDocument/2006/relationships/table" Target="../tables/table39.xml"/><Relationship Id="rId3" Type="http://schemas.openxmlformats.org/officeDocument/2006/relationships/table" Target="../tables/table34.xml"/><Relationship Id="rId7" Type="http://schemas.openxmlformats.org/officeDocument/2006/relationships/table" Target="../tables/table38.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table" Target="../tables/table37.xml"/><Relationship Id="rId5" Type="http://schemas.openxmlformats.org/officeDocument/2006/relationships/table" Target="../tables/table36.xml"/><Relationship Id="rId4" Type="http://schemas.openxmlformats.org/officeDocument/2006/relationships/table" Target="../tables/table35.xml"/></Relationships>
</file>

<file path=xl/worksheets/_rels/sheet9.xml.rels><?xml version="1.0" encoding="UTF-8" standalone="yes"?>
<Relationships xmlns="http://schemas.openxmlformats.org/package/2006/relationships"><Relationship Id="rId8" Type="http://schemas.openxmlformats.org/officeDocument/2006/relationships/table" Target="../tables/table45.xml"/><Relationship Id="rId3" Type="http://schemas.openxmlformats.org/officeDocument/2006/relationships/table" Target="../tables/table40.xml"/><Relationship Id="rId7" Type="http://schemas.openxmlformats.org/officeDocument/2006/relationships/table" Target="../tables/table44.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table" Target="../tables/table43.xml"/><Relationship Id="rId5" Type="http://schemas.openxmlformats.org/officeDocument/2006/relationships/table" Target="../tables/table42.xml"/><Relationship Id="rId4"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F90D5-8D8E-4B9A-BFDE-20277C5A72DC}">
  <dimension ref="A1:F31"/>
  <sheetViews>
    <sheetView zoomScaleNormal="100" zoomScaleSheetLayoutView="100" workbookViewId="0"/>
  </sheetViews>
  <sheetFormatPr defaultColWidth="0" defaultRowHeight="15" customHeight="1" zeroHeight="1" x14ac:dyDescent="0.25"/>
  <cols>
    <col min="1" max="1" width="62.7109375" customWidth="1"/>
    <col min="2" max="5" width="12.7109375" customWidth="1"/>
    <col min="6" max="6" width="9.140625" customWidth="1"/>
    <col min="7" max="13" width="9.140625" hidden="1" customWidth="1"/>
    <col min="14" max="16384" width="9.140625" hidden="1"/>
  </cols>
  <sheetData>
    <row r="1" spans="1:6" ht="21" customHeight="1" x14ac:dyDescent="0.25">
      <c r="A1" s="40" t="s">
        <v>112</v>
      </c>
    </row>
    <row r="2" spans="1:6" ht="18" customHeight="1" x14ac:dyDescent="0.25">
      <c r="A2" s="47" t="str">
        <f ca="1">HeadingLine2</f>
        <v>VA-604: Prince William County CoC</v>
      </c>
      <c r="B2" s="2"/>
      <c r="C2" s="2"/>
      <c r="D2" s="2"/>
      <c r="E2" s="2"/>
      <c r="F2" s="2"/>
    </row>
    <row r="3" spans="1:6" ht="18" customHeight="1" x14ac:dyDescent="0.25">
      <c r="A3" s="47" t="str">
        <f ca="1">HeadingLine3</f>
        <v>HIC Date: Wed 1/24/24</v>
      </c>
      <c r="B3" s="2"/>
      <c r="C3" s="2"/>
      <c r="D3" s="2"/>
      <c r="E3" s="2"/>
      <c r="F3" s="2"/>
    </row>
    <row r="4" spans="1:6" ht="18" customHeight="1" x14ac:dyDescent="0.25">
      <c r="A4" s="40"/>
      <c r="B4" s="41"/>
      <c r="C4" s="42"/>
      <c r="D4" s="43"/>
      <c r="E4" s="43"/>
    </row>
    <row r="5" spans="1:6" ht="19.5" x14ac:dyDescent="0.3">
      <c r="A5" s="44" t="s">
        <v>138</v>
      </c>
    </row>
    <row r="6" spans="1:6" x14ac:dyDescent="0.25"/>
    <row r="7" spans="1:6" x14ac:dyDescent="0.25"/>
    <row r="8" spans="1:6" x14ac:dyDescent="0.25"/>
    <row r="9" spans="1:6" x14ac:dyDescent="0.25"/>
    <row r="10" spans="1:6" x14ac:dyDescent="0.25"/>
    <row r="11" spans="1:6" ht="19.5" x14ac:dyDescent="0.3">
      <c r="A11" s="44" t="s">
        <v>139</v>
      </c>
    </row>
    <row r="12" spans="1:6" x14ac:dyDescent="0.25"/>
    <row r="13" spans="1:6" x14ac:dyDescent="0.25"/>
    <row r="14" spans="1:6" x14ac:dyDescent="0.25"/>
    <row r="15" spans="1:6" x14ac:dyDescent="0.25"/>
    <row r="16" spans="1:6" x14ac:dyDescent="0.25"/>
    <row r="17" spans="1:1" x14ac:dyDescent="0.25"/>
    <row r="18" spans="1:1" x14ac:dyDescent="0.25"/>
    <row r="19" spans="1:1" x14ac:dyDescent="0.25"/>
    <row r="20" spans="1:1" ht="19.5" x14ac:dyDescent="0.3">
      <c r="A20" s="44" t="s">
        <v>140</v>
      </c>
    </row>
    <row r="21" spans="1:1" x14ac:dyDescent="0.25"/>
    <row r="22" spans="1:1" x14ac:dyDescent="0.25"/>
    <row r="23" spans="1:1" x14ac:dyDescent="0.25"/>
    <row r="24" spans="1:1" x14ac:dyDescent="0.25"/>
    <row r="25" spans="1:1" x14ac:dyDescent="0.25"/>
    <row r="26" spans="1:1" x14ac:dyDescent="0.25"/>
    <row r="27" spans="1:1" x14ac:dyDescent="0.25"/>
    <row r="28" spans="1:1" x14ac:dyDescent="0.25"/>
    <row r="29" spans="1:1" x14ac:dyDescent="0.25"/>
    <row r="30" spans="1:1" x14ac:dyDescent="0.25"/>
    <row r="31" spans="1:1" x14ac:dyDescent="0.25"/>
  </sheetData>
  <sheetProtection algorithmName="SHA-512" hashValue="UgsFcn7LnVQGzAMjJXkFKqb+DFKjl3J/Hs8ciTSJuLvT/LhlZt+vP3QDQGWDKZ497qKIu6k79rbsWrFz4jGfog==" saltValue="VzQhx1EPH2gZaPsELiJUaQ==" spinCount="100000" sheet="1" objects="1" scenarios="1"/>
  <conditionalFormatting sqref="A3:K3">
    <cfRule type="expression" dxfId="116" priority="1">
      <formula>$A$3="PASTE DATA INTO THE 'HICRawData' TAB TO POPULATE THIS TEMPLATE."</formula>
    </cfRule>
  </conditionalFormatting>
  <pageMargins left="0.7" right="0.7" top="0.75" bottom="0.75" header="0.3" footer="0.3"/>
  <pageSetup scale="99" orientation="landscape" r:id="rId1"/>
  <rowBreaks count="1" manualBreakCount="1">
    <brk id="61"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5085-78E9-44F8-975F-F6FED3AC49CC}">
  <sheetPr codeName="Sheet17"/>
  <dimension ref="A1:L97"/>
  <sheetViews>
    <sheetView zoomScaleNormal="100" workbookViewId="0"/>
  </sheetViews>
  <sheetFormatPr defaultColWidth="0" defaultRowHeight="15" zeroHeight="1" x14ac:dyDescent="0.25"/>
  <cols>
    <col min="1" max="1" width="31.7109375" style="2" customWidth="1"/>
    <col min="2" max="7" width="16.7109375" style="2" customWidth="1"/>
    <col min="8" max="10" width="9.140625" style="31" hidden="1" customWidth="1"/>
    <col min="11" max="11" width="0" style="31" hidden="1" customWidth="1"/>
    <col min="12" max="12" width="0" style="2" hidden="1" customWidth="1"/>
    <col min="13" max="16384" width="9.140625" style="2" hidden="1"/>
  </cols>
  <sheetData>
    <row r="1" spans="1:9" ht="21" customHeight="1" x14ac:dyDescent="0.25">
      <c r="A1" s="27" t="s">
        <v>112</v>
      </c>
      <c r="B1" s="28"/>
      <c r="C1" s="28"/>
      <c r="D1" s="28"/>
      <c r="E1" s="28"/>
      <c r="F1" s="28"/>
      <c r="G1" s="28"/>
      <c r="I1" s="31" t="s">
        <v>86</v>
      </c>
    </row>
    <row r="2" spans="1:9" ht="18" customHeight="1" x14ac:dyDescent="0.25">
      <c r="A2" s="29" t="s">
        <v>133</v>
      </c>
      <c r="B2" s="28"/>
      <c r="C2" s="28"/>
      <c r="D2" s="28"/>
      <c r="E2" s="28"/>
      <c r="F2" s="28"/>
      <c r="G2" s="28"/>
      <c r="I2" s="31" t="s">
        <v>111</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F5"/>
      <c r="G5"/>
      <c r="H5" s="32"/>
    </row>
    <row r="6" spans="1:9" ht="72" customHeight="1" x14ac:dyDescent="0.25">
      <c r="A6" s="16" t="s">
        <v>102</v>
      </c>
      <c r="B6" s="16" t="s">
        <v>96</v>
      </c>
      <c r="C6" s="16" t="s">
        <v>97</v>
      </c>
      <c r="D6" s="16" t="s">
        <v>98</v>
      </c>
      <c r="E6" s="16" t="s">
        <v>99</v>
      </c>
      <c r="F6"/>
      <c r="G6"/>
      <c r="I6" s="31" t="s">
        <v>84</v>
      </c>
    </row>
    <row r="7" spans="1:9" ht="17.100000000000001" customHeight="1" x14ac:dyDescent="0.25">
      <c r="A7" s="10" t="s">
        <v>107</v>
      </c>
      <c r="B7" s="18">
        <f>SUMIFS(HicRawData[CH Beds HH w/o Children],
HicRawData[Project Type],$I$2,
HicRawData[Inventory Type],"C",
HicRawData[HMIS Participating],$I7)</f>
        <v>40</v>
      </c>
      <c r="C7" s="18">
        <f>SUMIFS(HicRawData[CH Beds HH w/ Children],
HicRawData[Project Type],$I$2,
HicRawData[Inventory Type],"C",
HicRawData[HMIS Participating],$I7)</f>
        <v>4</v>
      </c>
      <c r="D7" s="18">
        <f>SUMIFS(HicRawData[CH Beds HH w only Children],
HicRawData[Project Type],$I$2,
HicRawData[Inventory Type],"C",
HicRawData[HMIS Participating],$I7)</f>
        <v>0</v>
      </c>
      <c r="E7" s="18">
        <f>SUM(Chronic_HmisParticipation[[#This Row],[Households without Children]:[Households with only Children]])</f>
        <v>44</v>
      </c>
      <c r="F7"/>
      <c r="G7"/>
      <c r="I7" s="31" t="s">
        <v>9</v>
      </c>
    </row>
    <row r="8" spans="1:9" ht="17.100000000000001" customHeight="1" x14ac:dyDescent="0.25">
      <c r="A8" s="10" t="s">
        <v>108</v>
      </c>
      <c r="B8" s="18">
        <f>SUMIFS(HicRawData[CH Beds HH w/o Children],
HicRawData[Project Type],$I$2,
HicRawData[Inventory Type],"C",
HicRawData[HMIS Participating],$I8)</f>
        <v>75</v>
      </c>
      <c r="C8" s="18">
        <f>SUMIFS(HicRawData[CH Beds HH w/ Children],
HicRawData[Project Type],$I$2,
HicRawData[Inventory Type],"C",
HicRawData[HMIS Participating],$I8)</f>
        <v>75</v>
      </c>
      <c r="D8" s="18">
        <f>SUMIFS(HicRawData[CH Beds HH w only Children],
HicRawData[Project Type],$I$2,
HicRawData[Inventory Type],"C",
HicRawData[HMIS Participating],$I8)</f>
        <v>0</v>
      </c>
      <c r="E8" s="18">
        <f>SUM(Chronic_HmisParticipation[[#This Row],[Households without Children]:[Households with only Children]])</f>
        <v>150</v>
      </c>
      <c r="F8"/>
      <c r="G8"/>
      <c r="I8" s="31" t="s">
        <v>12</v>
      </c>
    </row>
    <row r="9" spans="1:9" ht="17.100000000000001" customHeight="1" x14ac:dyDescent="0.25">
      <c r="A9" s="10" t="s">
        <v>130</v>
      </c>
      <c r="B9" s="18">
        <f>SUMIFS(HicRawData[CH Beds HH w/o Children],
HicRawData[Project Type],$I$2,
HicRawData[Inventory Type],"C",
HicRawData[HMIS Participating],$I9)</f>
        <v>0</v>
      </c>
      <c r="C9" s="18">
        <f>SUMIFS(HicRawData[CH Beds HH w/ Children],
HicRawData[Project Type],$I$2,
HicRawData[Inventory Type],"C",
HicRawData[HMIS Participating],$I9)</f>
        <v>0</v>
      </c>
      <c r="D9" s="18">
        <f>SUMIFS(HicRawData[CH Beds HH w only Children],
HicRawData[Project Type],$I$2,
HicRawData[Inventory Type],"C",
HicRawData[HMIS Participating],$I9)</f>
        <v>0</v>
      </c>
      <c r="E9" s="18">
        <f>SUM(Chronic_HmisParticipation[[#This Row],[Households without Children]:[Households with only Children]])</f>
        <v>0</v>
      </c>
      <c r="F9"/>
      <c r="G9"/>
      <c r="I9" s="31" t="s">
        <v>115</v>
      </c>
    </row>
    <row r="10" spans="1:9" ht="17.100000000000001" customHeight="1" x14ac:dyDescent="0.25">
      <c r="A10" s="2" t="s">
        <v>100</v>
      </c>
      <c r="B10" s="18">
        <f>SUBTOTAL(109,Chronic_HmisParticipation[Households without Children])</f>
        <v>115</v>
      </c>
      <c r="C10" s="18">
        <f>SUBTOTAL(109,Chronic_HmisParticipation[Households with Children])</f>
        <v>79</v>
      </c>
      <c r="D10" s="18">
        <f>SUBTOTAL(109,Chronic_HmisParticipation[Households with only Children])</f>
        <v>0</v>
      </c>
      <c r="E10" s="18">
        <f>SUBTOTAL(109,Chronic_HmisParticipation[Total Year-Round Beds])</f>
        <v>194</v>
      </c>
      <c r="F10"/>
      <c r="G10"/>
    </row>
    <row r="11" spans="1:9" ht="15" customHeight="1" x14ac:dyDescent="0.25">
      <c r="A11" s="4" t="s">
        <v>101</v>
      </c>
      <c r="B11" s="19">
        <f>IF(B7=0,"N/A",B7/Chronic_HmisParticipation[[#Totals],[Households without Children]])</f>
        <v>0.34782608695652173</v>
      </c>
      <c r="C11" s="19">
        <f>IF(C7=0,"N/A",C7/Chronic_HmisParticipation[[#Totals],[Households with Children]])</f>
        <v>5.0632911392405063E-2</v>
      </c>
      <c r="D11" s="19" t="str">
        <f>IF(D7=0,"N/A",D7/Chronic_HmisParticipation[[#Totals],[Households with only Children]])</f>
        <v>N/A</v>
      </c>
      <c r="E11" s="19">
        <f>IF(E7=0,"N/A",E7/Chronic_HmisParticipation[[#Totals],[Total Year-Round Beds]])</f>
        <v>0.22680412371134021</v>
      </c>
      <c r="F11"/>
      <c r="G11"/>
    </row>
    <row r="12" spans="1:9" ht="15" customHeight="1" x14ac:dyDescent="0.25">
      <c r="A12" s="4"/>
      <c r="B12" s="5"/>
      <c r="C12" s="5"/>
      <c r="D12" s="5"/>
      <c r="E12" s="5"/>
      <c r="F12"/>
      <c r="G12"/>
    </row>
    <row r="13" spans="1:9" ht="72" customHeight="1" x14ac:dyDescent="0.25">
      <c r="A13" s="15" t="s">
        <v>127</v>
      </c>
      <c r="B13" s="15" t="s">
        <v>96</v>
      </c>
      <c r="C13" s="15" t="s">
        <v>97</v>
      </c>
      <c r="D13" s="15" t="s">
        <v>98</v>
      </c>
      <c r="E13" s="15" t="s">
        <v>99</v>
      </c>
      <c r="F13"/>
      <c r="G13"/>
      <c r="I13" s="31" t="s">
        <v>84</v>
      </c>
    </row>
    <row r="14" spans="1:9" ht="17.100000000000001" customHeight="1" x14ac:dyDescent="0.25">
      <c r="A14" s="10" t="s">
        <v>113</v>
      </c>
      <c r="B14" s="18">
        <f>SUMIFS(HicRawData[CH Beds HH w/o Children],
HicRawData[Project Type],$I$2,
HicRawData[Inventory Type],"C",
HicRawData[HMIS Participating],$I14,
HicRawData[Victim Service Provider],0)</f>
        <v>40</v>
      </c>
      <c r="C14" s="18">
        <f>SUMIFS(HicRawData[CH Beds HH w/ Children],
HicRawData[Project Type],$I$2,
HicRawData[Inventory Type],"C",
HicRawData[HMIS Participating],$I14,
HicRawData[Victim Service Provider],0)</f>
        <v>4</v>
      </c>
      <c r="D14" s="18">
        <f>SUMIFS(HicRawData[CH Beds HH w only Children],
HicRawData[Project Type],$I$2,
HicRawData[Inventory Type],"C",
HicRawData[HMIS Participating],$I14,
HicRawData[Victim Service Provider],0)</f>
        <v>0</v>
      </c>
      <c r="E14" s="18">
        <f>SUM(Chronic_NonVspHmisParticipation[[#This Row],[Households without Children]:[Households with only Children]])</f>
        <v>44</v>
      </c>
      <c r="F14"/>
      <c r="G14"/>
      <c r="I14" s="31" t="s">
        <v>9</v>
      </c>
    </row>
    <row r="15" spans="1:9" ht="17.100000000000001" customHeight="1" x14ac:dyDescent="0.25">
      <c r="A15" s="10" t="s">
        <v>114</v>
      </c>
      <c r="B15" s="18">
        <f>SUMIFS(HicRawData[CH Beds HH w/o Children],
HicRawData[Project Type],$I$2,
HicRawData[Inventory Type],"C",
HicRawData[HMIS Participating],$I15,
HicRawData[Victim Service Provider],0)</f>
        <v>75</v>
      </c>
      <c r="C15" s="18">
        <f>SUMIFS(HicRawData[CH Beds HH w/ Children],
HicRawData[Project Type],$I$2,
HicRawData[Inventory Type],"C",
HicRawData[HMIS Participating],$I15,
HicRawData[Victim Service Provider],0)</f>
        <v>75</v>
      </c>
      <c r="D15" s="18">
        <f>SUMIFS(HicRawData[CH Beds HH w only Children],
HicRawData[Project Type],$I$2,
HicRawData[Inventory Type],"C",
HicRawData[HMIS Participating],$I15,
HicRawData[Victim Service Provider],0)</f>
        <v>0</v>
      </c>
      <c r="E15" s="18">
        <f>SUM(Chronic_NonVspHmisParticipation[[#This Row],[Households without Children]:[Households with only Children]])</f>
        <v>150</v>
      </c>
      <c r="F15"/>
      <c r="G15"/>
      <c r="I15" s="31" t="s">
        <v>12</v>
      </c>
    </row>
    <row r="16" spans="1:9" ht="17.100000000000001" customHeight="1" x14ac:dyDescent="0.25">
      <c r="A16" s="10" t="s">
        <v>129</v>
      </c>
      <c r="B16" s="18">
        <f>SUMIFS(HicRawData[CH Beds HH w/o Children],
HicRawData[Project Type],$I$2,
HicRawData[Inventory Type],"C",
HicRawData[HMIS Participating],$I16,
HicRawData[Victim Service Provider],0)</f>
        <v>0</v>
      </c>
      <c r="C16" s="18">
        <f>SUMIFS(HicRawData[CH Beds HH w/ Children],
HicRawData[Project Type],$I$2,
HicRawData[Inventory Type],"C",
HicRawData[HMIS Participating],$I16,
HicRawData[Victim Service Provider],0)</f>
        <v>0</v>
      </c>
      <c r="D16" s="18">
        <f>SUMIFS(HicRawData[CH Beds HH w only Children],
HicRawData[Project Type],$I$2,
HicRawData[Inventory Type],"C",
HicRawData[HMIS Participating],$I16,
HicRawData[Victim Service Provider],0)</f>
        <v>0</v>
      </c>
      <c r="E16" s="18">
        <f>SUM(Chronic_NonVspHmisParticipation[[#This Row],[Households without Children]:[Households with only Children]])</f>
        <v>0</v>
      </c>
      <c r="F16"/>
      <c r="G16"/>
      <c r="I16" s="31" t="s">
        <v>115</v>
      </c>
    </row>
    <row r="17" spans="1:9" ht="17.100000000000001" customHeight="1" x14ac:dyDescent="0.25">
      <c r="A17" s="10" t="s">
        <v>100</v>
      </c>
      <c r="B17" s="20">
        <f>SUBTOTAL(109,Chronic_NonVspHmisParticipation[Households without Children])</f>
        <v>115</v>
      </c>
      <c r="C17" s="20">
        <f>SUBTOTAL(109,Chronic_NonVspHmisParticipation[Households with Children])</f>
        <v>79</v>
      </c>
      <c r="D17" s="20">
        <f>SUBTOTAL(109,Chronic_NonVspHmisParticipation[Households with only Children])</f>
        <v>0</v>
      </c>
      <c r="E17" s="20">
        <f>SUBTOTAL(109,Chronic_NonVspHmisParticipation[Total Year-Round Beds])</f>
        <v>194</v>
      </c>
      <c r="F17"/>
      <c r="G17"/>
    </row>
    <row r="18" spans="1:9" ht="15" customHeight="1" x14ac:dyDescent="0.25">
      <c r="A18" s="4" t="s">
        <v>128</v>
      </c>
      <c r="B18" s="19">
        <f>IF(B14=0,"N/A",B14/Chronic_NonVspHmisParticipation[[#Totals],[Households without Children]])</f>
        <v>0.34782608695652173</v>
      </c>
      <c r="C18" s="19">
        <f>IF(C14=0,"N/A",C14/Chronic_NonVspHmisParticipation[[#Totals],[Households with Children]])</f>
        <v>5.0632911392405063E-2</v>
      </c>
      <c r="D18" s="19" t="str">
        <f>IF(D14=0,"N/A",D14/Chronic_NonVspHmisParticipation[[#Totals],[Households with only Children]])</f>
        <v>N/A</v>
      </c>
      <c r="E18" s="19">
        <f>IF(E14=0,"N/A",E14/Chronic_NonVspHmisParticipation[[#Totals],[Total Year-Round Beds]])</f>
        <v>0.22680412371134021</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32"/>
    </row>
    <row r="21" spans="1:9" ht="17.100000000000001" customHeight="1" x14ac:dyDescent="0.25">
      <c r="A21" s="2" t="s">
        <v>8</v>
      </c>
      <c r="B21" s="22">
        <f>SUMIFS(HicRawData[CH Beds HH w/o Children],
HicRawData[Project Type],$I$2,
HicRawData[Inventory Type],"C",
HicRawData[Target Population],Chronic_TargetPopulation[[#This Row],[Beds by Target Population]])</f>
        <v>0</v>
      </c>
      <c r="C21" s="22">
        <f>SUMIFS(HicRawData[CH Beds HH w/ Children],
HicRawData[Project Type],$I$2,
HicRawData[Inventory Type],"C",
HicRawData[Target Population],Chronic_TargetPopulation[[#This Row],[Beds by Target Population]])</f>
        <v>0</v>
      </c>
      <c r="D21" s="22">
        <f>SUMIFS(HicRawData[CH Beds HH w only Children],
HicRawData[Project Type],$I$2,
HicRawData[Inventory Type],"C",
HicRawData[Target Population],Chronic_TargetPopulation[[#This Row],[Beds by Target Population]])</f>
        <v>0</v>
      </c>
      <c r="E21" s="22">
        <f>SUM(Chronic_TargetPopulation[[#This Row],[Households without Children]:[Households with only Children]])</f>
        <v>0</v>
      </c>
    </row>
    <row r="22" spans="1:9" ht="17.100000000000001" customHeight="1" x14ac:dyDescent="0.25">
      <c r="A22" s="2" t="s">
        <v>10</v>
      </c>
      <c r="B22" s="22">
        <f>SUMIFS(HicRawData[CH Beds HH w/o Children],
HicRawData[Project Type],$I$2,
HicRawData[Inventory Type],"C",
HicRawData[Target Population],Chronic_TargetPopulation[[#This Row],[Beds by Target Population]])</f>
        <v>0</v>
      </c>
      <c r="C22" s="22">
        <f>SUMIFS(HicRawData[CH Beds HH w/ Children],
HicRawData[Project Type],$I$2,
HicRawData[Inventory Type],"C",
HicRawData[Target Population],Chronic_TargetPopulation[[#This Row],[Beds by Target Population]])</f>
        <v>0</v>
      </c>
      <c r="D22" s="22">
        <f>SUMIFS(HicRawData[CH Beds HH w only Children],
HicRawData[Project Type],$I$2,
HicRawData[Inventory Type],"C",
HicRawData[Target Population],Chronic_TargetPopulation[[#This Row],[Beds by Target Population]])</f>
        <v>0</v>
      </c>
      <c r="E22" s="22">
        <f>SUM(Chronic_TargetPopulation[[#This Row],[Households without Children]:[Households with only Children]])</f>
        <v>0</v>
      </c>
    </row>
    <row r="23" spans="1:9" ht="17.100000000000001" customHeight="1" x14ac:dyDescent="0.25">
      <c r="A23" s="2" t="s">
        <v>0</v>
      </c>
      <c r="B23" s="22">
        <f>SUMIFS(HicRawData[CH Beds HH w/o Children],
HicRawData[Project Type],$I$2,
HicRawData[Inventory Type],"C",
HicRawData[Target Population],Chronic_TargetPopulation[[#This Row],[Beds by Target Population]])</f>
        <v>115</v>
      </c>
      <c r="C23" s="22">
        <f>SUMIFS(HicRawData[CH Beds HH w/ Children],
HicRawData[Project Type],$I$2,
HicRawData[Inventory Type],"C",
HicRawData[Target Population],Chronic_TargetPopulation[[#This Row],[Beds by Target Population]])</f>
        <v>79</v>
      </c>
      <c r="D23" s="22">
        <f>SUMIFS(HicRawData[CH Beds HH w only Children],
HicRawData[Project Type],$I$2,
HicRawData[Inventory Type],"C",
HicRawData[Target Population],Chronic_TargetPopulation[[#This Row],[Beds by Target Population]])</f>
        <v>0</v>
      </c>
      <c r="E23" s="22">
        <f>SUM(Chronic_TargetPopulation[[#This Row],[Households without Children]:[Households with only Children]])</f>
        <v>194</v>
      </c>
    </row>
    <row r="24" spans="1:9" ht="15" customHeight="1" x14ac:dyDescent="0.25">
      <c r="A24" s="2" t="s">
        <v>100</v>
      </c>
      <c r="B24" s="23">
        <f>SUBTOTAL(109,Chronic_TargetPopulation[Households without Children])</f>
        <v>115</v>
      </c>
      <c r="C24" s="23">
        <f>SUBTOTAL(109,Chronic_TargetPopulation[Households with Children])</f>
        <v>79</v>
      </c>
      <c r="D24" s="23">
        <f>SUBTOTAL(109,Chronic_TargetPopulation[Households with only Children])</f>
        <v>0</v>
      </c>
      <c r="E24" s="23">
        <f>SUBTOTAL(109,Chronic_TargetPopulation[Total Year-Round Beds])</f>
        <v>194</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SUMIFS(HicRawData[CH Beds HH w/o Children],
HicRawData[Project Type],$I$2,
HicRawData[Inventory Type],$I27)</f>
        <v>115</v>
      </c>
      <c r="C27" s="22">
        <f>SUMIFS(HicRawData[CH Beds HH w/ Children],
HicRawData[Project Type],$I$2,
HicRawData[Inventory Type],$I27)</f>
        <v>79</v>
      </c>
      <c r="D27" s="22">
        <f>SUMIFS(HicRawData[CH Beds HH w only Children],
HicRawData[Project Type],$I$2,
HicRawData[Inventory Type],$I27)</f>
        <v>0</v>
      </c>
      <c r="E27" s="22">
        <f>SUM(Chronic_InventoryType[[#This Row],[Households without Children]:[Households with only Children]])</f>
        <v>194</v>
      </c>
      <c r="I27" s="31" t="s">
        <v>1</v>
      </c>
    </row>
    <row r="28" spans="1:9" ht="17.100000000000001" customHeight="1" x14ac:dyDescent="0.25">
      <c r="A28" s="2" t="s">
        <v>106</v>
      </c>
      <c r="B28" s="22">
        <f>SUMIFS(HicRawData[CH Beds HH w/o Children],
HicRawData[Project Type],$I$2,
HicRawData[Inventory Type],$I28)</f>
        <v>0</v>
      </c>
      <c r="C28" s="22">
        <f>SUMIFS(HicRawData[CH Beds HH w/ Children],
HicRawData[Project Type],$I$2,
HicRawData[Inventory Type],$I28)</f>
        <v>0</v>
      </c>
      <c r="D28" s="22">
        <f>SUMIFS(HicRawData[CH Beds HH w only Children],
HicRawData[Project Type],$I$2,
HicRawData[Inventory Type],$I28)</f>
        <v>0</v>
      </c>
      <c r="E28" s="22">
        <f>SUM(Chronic_InventoryType[[#This Row],[Households without Children]:[Households with only Children]])</f>
        <v>0</v>
      </c>
      <c r="I28" s="31" t="s">
        <v>6</v>
      </c>
    </row>
    <row r="29" spans="1:9" ht="15" customHeight="1" x14ac:dyDescent="0.25">
      <c r="A29" s="2" t="s">
        <v>100</v>
      </c>
      <c r="B29" s="23">
        <f>SUBTOTAL(109,Chronic_InventoryType[Households without Children])</f>
        <v>115</v>
      </c>
      <c r="C29" s="23">
        <f>SUBTOTAL(109,Chronic_InventoryType[Households with Children])</f>
        <v>79</v>
      </c>
      <c r="D29" s="23">
        <f>SUBTOTAL(109,Chronic_InventoryType[Households with only Children])</f>
        <v>0</v>
      </c>
      <c r="E29" s="23">
        <f>SUBTOTAL(109,Chronic_InventoryType[Total Year-Round Beds])</f>
        <v>194</v>
      </c>
    </row>
    <row r="30" spans="1:9" ht="15" customHeight="1" x14ac:dyDescent="0.25">
      <c r="B30" s="23"/>
      <c r="C30" s="23"/>
      <c r="D30" s="23"/>
      <c r="E30" s="23"/>
    </row>
    <row r="31" spans="1:9" ht="72" customHeight="1" x14ac:dyDescent="0.25">
      <c r="A31"/>
      <c r="B31"/>
      <c r="C31"/>
      <c r="D31"/>
      <c r="E31"/>
      <c r="F31"/>
      <c r="I31" s="31" t="s">
        <v>84</v>
      </c>
    </row>
    <row r="32" spans="1:9" ht="15" customHeight="1" x14ac:dyDescent="0.25">
      <c r="A32"/>
      <c r="B32"/>
      <c r="C32"/>
      <c r="D32"/>
      <c r="E32"/>
      <c r="F32"/>
      <c r="I32" s="31" t="s">
        <v>9</v>
      </c>
    </row>
    <row r="33" spans="1:12" ht="15" customHeight="1" x14ac:dyDescent="0.25">
      <c r="A33"/>
      <c r="B33"/>
      <c r="C33"/>
      <c r="D33"/>
      <c r="E33"/>
      <c r="F33"/>
      <c r="I33" s="31" t="s">
        <v>12</v>
      </c>
    </row>
    <row r="34" spans="1:12" ht="15" customHeight="1" x14ac:dyDescent="0.25">
      <c r="A34"/>
      <c r="B34"/>
      <c r="C34"/>
      <c r="D34"/>
      <c r="E34"/>
      <c r="F34"/>
      <c r="I34" s="31" t="s">
        <v>115</v>
      </c>
    </row>
    <row r="35" spans="1:12" ht="15" customHeight="1" x14ac:dyDescent="0.25">
      <c r="A35"/>
      <c r="B35"/>
      <c r="C35"/>
      <c r="D35"/>
      <c r="E35"/>
      <c r="F35"/>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SUMIFS(HicRawData[CH Beds HH w/o Children],
HicRawData[Project Type],$I$2,
HicRawData[Inventory Type],"C",
HicRawData[Project Type], Chronic_ProjectType[[#This Row],[All Beds by Project Type]])</f>
        <v>0</v>
      </c>
      <c r="C38" s="22">
        <f>SUMIFS(HicRawData[CH Beds HH w/ Children],
HicRawData[Project Type],$I$2,
HicRawData[Inventory Type],"C",
HicRawData[Project Type], Chronic_ProjectType[[#This Row],[All Beds by Project Type]])</f>
        <v>0</v>
      </c>
      <c r="D38" s="22">
        <f>SUMIFS(HicRawData[CH Beds HH w only Children],
HicRawData[Project Type],$I$2,
HicRawData[Inventory Type],"C",
HicRawData[Project Type], Chronic_ProjectType[[#This Row],[All Beds by Project Type]])</f>
        <v>0</v>
      </c>
      <c r="E38" s="22">
        <f>SUM(Chronic_ProjectType[[#This Row],[Households without Children]:[Households with only Children]])</f>
        <v>0</v>
      </c>
    </row>
    <row r="39" spans="1:12" ht="17.100000000000001" customHeight="1" x14ac:dyDescent="0.25">
      <c r="A39" s="2" t="s">
        <v>2</v>
      </c>
      <c r="B39" s="22">
        <f>SUMIFS(HicRawData[CH Beds HH w/o Children],
HicRawData[Project Type],$I$2,
HicRawData[Inventory Type],"C",
HicRawData[Project Type], Chronic_ProjectType[[#This Row],[All Beds by Project Type]])</f>
        <v>0</v>
      </c>
      <c r="C39" s="22">
        <f>SUMIFS(HicRawData[CH Beds HH w/ Children],
HicRawData[Project Type],$I$2,
HicRawData[Inventory Type],"C",
HicRawData[Project Type], Chronic_ProjectType[[#This Row],[All Beds by Project Type]])</f>
        <v>0</v>
      </c>
      <c r="D39" s="22">
        <f>SUMIFS(HicRawData[CH Beds HH w only Children],
HicRawData[Project Type],$I$2,
HicRawData[Inventory Type],"C",
HicRawData[Project Type], Chronic_ProjectType[[#This Row],[All Beds by Project Type]])</f>
        <v>0</v>
      </c>
      <c r="E39" s="22">
        <f>SUM(Chronic_ProjectType[[#This Row],[Households without Children]:[Households with only Children]])</f>
        <v>0</v>
      </c>
      <c r="H39" s="33"/>
    </row>
    <row r="40" spans="1:12" ht="17.100000000000001" customHeight="1" x14ac:dyDescent="0.25">
      <c r="A40" s="2" t="s">
        <v>11</v>
      </c>
      <c r="B40" s="22">
        <f>SUMIFS(HicRawData[CH Beds HH w/o Children],
HicRawData[Project Type],$I$2,
HicRawData[Inventory Type],"C",
HicRawData[Project Type], Chronic_ProjectType[[#This Row],[All Beds by Project Type]])</f>
        <v>0</v>
      </c>
      <c r="C40" s="22">
        <f>SUMIFS(HicRawData[CH Beds HH w/ Children],
HicRawData[Project Type],$I$2,
HicRawData[Inventory Type],"C",
HicRawData[Project Type], Chronic_ProjectType[[#This Row],[All Beds by Project Type]])</f>
        <v>0</v>
      </c>
      <c r="D40" s="22">
        <f>SUMIFS(HicRawData[CH Beds HH w only Children],
HicRawData[Project Type],$I$2,
HicRawData[Inventory Type],"C",
HicRawData[Project Type], Chronic_ProjectType[[#This Row],[All Beds by Project Type]])</f>
        <v>0</v>
      </c>
      <c r="E40" s="22">
        <f>SUM(Chronic_ProjectType[[#This Row],[Households without Children]:[Households with only Children]])</f>
        <v>0</v>
      </c>
      <c r="H40" s="33"/>
    </row>
    <row r="41" spans="1:12" ht="17.100000000000001" customHeight="1" x14ac:dyDescent="0.25">
      <c r="A41" s="2" t="s">
        <v>4</v>
      </c>
      <c r="B41" s="22">
        <f>SUMIFS(HicRawData[CH Beds HH w/o Children],
HicRawData[Project Type],$I$2,
HicRawData[Inventory Type],"C",
HicRawData[Project Type], Chronic_ProjectType[[#This Row],[All Beds by Project Type]])</f>
        <v>0</v>
      </c>
      <c r="C41" s="22">
        <f>SUMIFS(HicRawData[CH Beds HH w/ Children],
HicRawData[Project Type],$I$2,
HicRawData[Inventory Type],"C",
HicRawData[Project Type], Chronic_ProjectType[[#This Row],[All Beds by Project Type]])</f>
        <v>0</v>
      </c>
      <c r="D41" s="22">
        <f>SUMIFS(HicRawData[CH Beds HH w only Children],
HicRawData[Project Type],$I$2,
HicRawData[Inventory Type],"C",
HicRawData[Project Type], Chronic_ProjectType[[#This Row],[All Beds by Project Type]])</f>
        <v>0</v>
      </c>
      <c r="E41" s="22">
        <f>SUM(Chronic_ProjectType[[#This Row],[Households without Children]:[Households with only Children]])</f>
        <v>0</v>
      </c>
    </row>
    <row r="42" spans="1:12" ht="17.100000000000001" customHeight="1" x14ac:dyDescent="0.25">
      <c r="A42" s="2" t="s">
        <v>5</v>
      </c>
      <c r="B42" s="22">
        <f>SUMIFS(HicRawData[CH Beds HH w/o Children],
HicRawData[Project Type],$I$2,
HicRawData[Inventory Type],"C",
HicRawData[Project Type], Chronic_ProjectType[[#This Row],[All Beds by Project Type]])</f>
        <v>115</v>
      </c>
      <c r="C42" s="22">
        <f>SUMIFS(HicRawData[CH Beds HH w/ Children],
HicRawData[Project Type],$I$2,
HicRawData[Inventory Type],"C",
HicRawData[Project Type], Chronic_ProjectType[[#This Row],[All Beds by Project Type]])</f>
        <v>79</v>
      </c>
      <c r="D42" s="22">
        <f>SUMIFS(HicRawData[CH Beds HH w only Children],
HicRawData[Project Type],$I$2,
HicRawData[Inventory Type],"C",
HicRawData[Project Type], Chronic_ProjectType[[#This Row],[All Beds by Project Type]])</f>
        <v>0</v>
      </c>
      <c r="E42" s="22">
        <f>SUM(Chronic_ProjectType[[#This Row],[Households without Children]:[Households with only Children]])</f>
        <v>194</v>
      </c>
    </row>
    <row r="43" spans="1:12" ht="17.100000000000001" customHeight="1" x14ac:dyDescent="0.25">
      <c r="A43" s="2" t="s">
        <v>7</v>
      </c>
      <c r="B43" s="22">
        <f>SUMIFS(HicRawData[CH Beds HH w/o Children],
HicRawData[Project Type],$I$2,
HicRawData[Inventory Type],"C",
HicRawData[Project Type], Chronic_ProjectType[[#This Row],[All Beds by Project Type]])</f>
        <v>0</v>
      </c>
      <c r="C43" s="22">
        <f>SUMIFS(HicRawData[CH Beds HH w/ Children],
HicRawData[Project Type],$I$2,
HicRawData[Inventory Type],"C",
HicRawData[Project Type], Chronic_ProjectType[[#This Row],[All Beds by Project Type]])</f>
        <v>0</v>
      </c>
      <c r="D43" s="22">
        <f>SUMIFS(HicRawData[CH Beds HH w only Children],
HicRawData[Project Type],$I$2,
HicRawData[Inventory Type],"C",
HicRawData[Project Type], Chronic_ProjectType[[#This Row],[All Beds by Project Type]])</f>
        <v>0</v>
      </c>
      <c r="E43" s="22">
        <f>SUM(Chronic_ProjectType[[#This Row],[Households without Children]:[Households with only Children]])</f>
        <v>0</v>
      </c>
    </row>
    <row r="44" spans="1:12" ht="15" customHeight="1" x14ac:dyDescent="0.25">
      <c r="A44" s="2" t="s">
        <v>100</v>
      </c>
      <c r="B44" s="23">
        <f>SUBTOTAL(109,Chronic_ProjectType[Households without Children])</f>
        <v>115</v>
      </c>
      <c r="C44" s="23">
        <f>SUBTOTAL(109,Chronic_ProjectType[Households with Children])</f>
        <v>79</v>
      </c>
      <c r="D44" s="23">
        <f>SUBTOTAL(109,Chronic_ProjectType[Households with only Children])</f>
        <v>0</v>
      </c>
      <c r="E44" s="23">
        <f>SUBTOTAL(109,Chronic_ProjectType[Total Year-Round Beds])</f>
        <v>194</v>
      </c>
    </row>
    <row r="45" spans="1:12" ht="15" customHeight="1" x14ac:dyDescent="0.25">
      <c r="B45" s="23"/>
      <c r="C45" s="23"/>
      <c r="D45" s="23"/>
      <c r="E45" s="23"/>
    </row>
    <row r="46" spans="1:12" ht="72" customHeight="1" x14ac:dyDescent="0.25">
      <c r="A46" s="16" t="s">
        <v>125</v>
      </c>
      <c r="B46" s="16" t="s">
        <v>96</v>
      </c>
      <c r="C46" s="16" t="s">
        <v>97</v>
      </c>
      <c r="D46" s="16" t="s">
        <v>98</v>
      </c>
      <c r="E46" s="16" t="s">
        <v>99</v>
      </c>
      <c r="J46" s="34"/>
      <c r="K46" s="34"/>
      <c r="L46" s="12"/>
    </row>
    <row r="47" spans="1:12" ht="17.100000000000001" customHeight="1" x14ac:dyDescent="0.25">
      <c r="A47" s="2" t="s">
        <v>3</v>
      </c>
      <c r="B47" s="22">
        <f>SUMIFS(HicRawData[CH Beds HH w/o Children],
HicRawData[Project Type],$I$2,
HicRawData[Inventory Type],"C",
HicRawData[Project Type], Chronic_ProjectTypeHmisParticipation[[#This Row],[HMIS Beds by Project Type]],
HicRawData[HMIS Participating], "Yes")</f>
        <v>0</v>
      </c>
      <c r="C47" s="22">
        <f>SUMIFS(HicRawData[CH Beds HH w/ Children],
HicRawData[Project Type],$I$2,
HicRawData[Inventory Type],"C",
HicRawData[Project Type], Chronic_ProjectTypeHmisParticipation[[#This Row],[HMIS Beds by Project Type]],
HicRawData[HMIS Participating], "Yes")</f>
        <v>0</v>
      </c>
      <c r="D47" s="22">
        <f>SUMIFS(HicRawData[CH Beds HH w only Children],
HicRawData[Project Type],$I$2,
HicRawData[Inventory Type],"C",
HicRawData[Project Type], Chronic_ProjectTypeHmisParticipation[[#This Row],[HMIS Beds by Project Type]],
HicRawData[HMIS Participating], "Yes")</f>
        <v>0</v>
      </c>
      <c r="E47" s="21">
        <f>B47+C47+D47</f>
        <v>0</v>
      </c>
    </row>
    <row r="48" spans="1:12" ht="17.100000000000001" customHeight="1" x14ac:dyDescent="0.25">
      <c r="A48" s="2" t="s">
        <v>2</v>
      </c>
      <c r="B48" s="21">
        <f>SUMIFS(HicRawData[CH Beds HH w/o Children],
HicRawData[Project Type],$I$2,
HicRawData[Inventory Type],"C",
HicRawData[Project Type], Chronic_ProjectTypeHmisParticipation[[#This Row],[HMIS Beds by Project Type]],
HicRawData[HMIS Participating], "Yes")</f>
        <v>0</v>
      </c>
      <c r="C48" s="21">
        <f>SUMIFS(HicRawData[CH Beds HH w/ Children],
HicRawData[Project Type],$I$2,
HicRawData[Inventory Type],"C",
HicRawData[Project Type], Chronic_ProjectTypeHmisParticipation[[#This Row],[HMIS Beds by Project Type]],
HicRawData[HMIS Participating], "Yes")</f>
        <v>0</v>
      </c>
      <c r="D48" s="21">
        <f>SUMIFS(HicRawData[CH Beds HH w only Children],
HicRawData[Project Type],$I$2,
HicRawData[Inventory Type],"C",
HicRawData[Project Type], Chronic_ProjectTypeHmisParticipation[[#This Row],[HMIS Beds by Project Type]],
HicRawData[HMIS Participating], "Yes")</f>
        <v>0</v>
      </c>
      <c r="E48" s="21">
        <f t="shared" ref="E48:E52" si="0">B48+C48+D48</f>
        <v>0</v>
      </c>
    </row>
    <row r="49" spans="1:5" ht="17.100000000000001" customHeight="1" x14ac:dyDescent="0.25">
      <c r="A49" s="2" t="s">
        <v>11</v>
      </c>
      <c r="B49" s="21">
        <f>SUMIFS(HicRawData[CH Beds HH w/o Children],
HicRawData[Project Type],$I$2,
HicRawData[Inventory Type],"C",
HicRawData[Project Type], Chronic_ProjectTypeHmisParticipation[[#This Row],[HMIS Beds by Project Type]],
HicRawData[HMIS Participating], "Yes")</f>
        <v>0</v>
      </c>
      <c r="C49" s="21">
        <f>SUMIFS(HicRawData[CH Beds HH w/ Children],
HicRawData[Project Type],$I$2,
HicRawData[Inventory Type],"C",
HicRawData[Project Type], Chronic_ProjectTypeHmisParticipation[[#This Row],[HMIS Beds by Project Type]],
HicRawData[HMIS Participating], "Yes")</f>
        <v>0</v>
      </c>
      <c r="D49" s="21">
        <f>SUMIFS(HicRawData[CH Beds HH w only Children],
HicRawData[Project Type],$I$2,
HicRawData[Inventory Type],"C",
HicRawData[Project Type], Chronic_ProjectTypeHmisParticipation[[#This Row],[HMIS Beds by Project Type]],
HicRawData[HMIS Participating], "Yes")</f>
        <v>0</v>
      </c>
      <c r="E49" s="21">
        <f t="shared" si="0"/>
        <v>0</v>
      </c>
    </row>
    <row r="50" spans="1:5" ht="17.100000000000001" customHeight="1" x14ac:dyDescent="0.25">
      <c r="A50" s="2" t="s">
        <v>4</v>
      </c>
      <c r="B50" s="21">
        <f>SUMIFS(HicRawData[CH Beds HH w/o Children],
HicRawData[Project Type],$I$2,
HicRawData[Inventory Type],"C",
HicRawData[Project Type], Chronic_ProjectTypeHmisParticipation[[#This Row],[HMIS Beds by Project Type]],
HicRawData[HMIS Participating], "Yes")</f>
        <v>0</v>
      </c>
      <c r="C50" s="21">
        <f>SUMIFS(HicRawData[CH Beds HH w/ Children],
HicRawData[Project Type],$I$2,
HicRawData[Inventory Type],"C",
HicRawData[Project Type], Chronic_ProjectTypeHmisParticipation[[#This Row],[HMIS Beds by Project Type]],
HicRawData[HMIS Participating], "Yes")</f>
        <v>0</v>
      </c>
      <c r="D50" s="21">
        <f>SUMIFS(HicRawData[CH Beds HH w only Children],
HicRawData[Project Type],$I$2,
HicRawData[Inventory Type],"C",
HicRawData[Project Type], Chronic_ProjectTypeHmisParticipation[[#This Row],[HMIS Beds by Project Type]],
HicRawData[HMIS Participating], "Yes")</f>
        <v>0</v>
      </c>
      <c r="E50" s="21">
        <f t="shared" si="0"/>
        <v>0</v>
      </c>
    </row>
    <row r="51" spans="1:5" ht="17.100000000000001" customHeight="1" x14ac:dyDescent="0.25">
      <c r="A51" s="2" t="s">
        <v>5</v>
      </c>
      <c r="B51" s="21">
        <f>SUMIFS(HicRawData[CH Beds HH w/o Children],
HicRawData[Project Type],$I$2,
HicRawData[Inventory Type],"C",
HicRawData[Project Type], Chronic_ProjectTypeHmisParticipation[[#This Row],[HMIS Beds by Project Type]],
HicRawData[HMIS Participating], "Yes")</f>
        <v>40</v>
      </c>
      <c r="C51" s="21">
        <f>SUMIFS(HicRawData[CH Beds HH w/ Children],
HicRawData[Project Type],$I$2,
HicRawData[Inventory Type],"C",
HicRawData[Project Type], Chronic_ProjectTypeHmisParticipation[[#This Row],[HMIS Beds by Project Type]],
HicRawData[HMIS Participating], "Yes")</f>
        <v>4</v>
      </c>
      <c r="D51" s="21">
        <f>SUMIFS(HicRawData[CH Beds HH w only Children],
HicRawData[Project Type],$I$2,
HicRawData[Inventory Type],"C",
HicRawData[Project Type], Chronic_ProjectTypeHmisParticipation[[#This Row],[HMIS Beds by Project Type]],
HicRawData[HMIS Participating], "Yes")</f>
        <v>0</v>
      </c>
      <c r="E51" s="21">
        <f t="shared" si="0"/>
        <v>44</v>
      </c>
    </row>
    <row r="52" spans="1:5" ht="17.100000000000001" customHeight="1" x14ac:dyDescent="0.25">
      <c r="A52" s="2" t="s">
        <v>7</v>
      </c>
      <c r="B52" s="21">
        <f>SUMIFS(HicRawData[CH Beds HH w/o Children],
HicRawData[Project Type],$I$2,
HicRawData[Inventory Type],"C",
HicRawData[Project Type], Chronic_ProjectTypeHmisParticipation[[#This Row],[HMIS Beds by Project Type]],
HicRawData[HMIS Participating], "Yes")</f>
        <v>0</v>
      </c>
      <c r="C52" s="21">
        <f>SUMIFS(HicRawData[CH Beds HH w/ Children],
HicRawData[Project Type],$I$2,
HicRawData[Inventory Type],"C",
HicRawData[Project Type], Chronic_ProjectTypeHmisParticipation[[#This Row],[HMIS Beds by Project Type]],
HicRawData[HMIS Participating], "Yes")</f>
        <v>0</v>
      </c>
      <c r="D52" s="21">
        <f>SUMIFS(HicRawData[CH Beds HH w only Children],
HicRawData[Project Type],$I$2,
HicRawData[Inventory Type],"C",
HicRawData[Project Type], Chronic_ProjectTypeHmisParticipation[[#This Row],[HMIS Beds by Project Type]],
HicRawData[HMIS Participating], "Yes")</f>
        <v>0</v>
      </c>
      <c r="E52" s="21">
        <f t="shared" si="0"/>
        <v>0</v>
      </c>
    </row>
    <row r="53" spans="1:5" x14ac:dyDescent="0.25">
      <c r="A53" s="2" t="s">
        <v>100</v>
      </c>
      <c r="B53" s="24">
        <f>SUBTOTAL(109,Chronic_ProjectTypeHmisParticipation[Households without Children])</f>
        <v>40</v>
      </c>
      <c r="C53" s="24">
        <f>SUBTOTAL(109,Chronic_ProjectTypeHmisParticipation[Households with Children])</f>
        <v>4</v>
      </c>
      <c r="D53" s="24">
        <f>SUBTOTAL(109,Chronic_ProjectTypeHmisParticipation[Households with only Children])</f>
        <v>0</v>
      </c>
      <c r="E53" s="21">
        <f>SUBTOTAL(109,Chronic_ProjectTypeHmisParticipation[Total Year-Round Beds])</f>
        <v>44</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10"/>
      <c r="B60" s="11"/>
    </row>
    <row r="61" spans="1:5" x14ac:dyDescent="0.25">
      <c r="A61" s="10"/>
      <c r="B61" s="11"/>
    </row>
    <row r="62" spans="1:5" x14ac:dyDescent="0.25">
      <c r="A62" s="10"/>
      <c r="B62" s="11"/>
    </row>
    <row r="63" spans="1:5" x14ac:dyDescent="0.25">
      <c r="A63" s="10"/>
      <c r="B63" s="1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KG0qvqAaTflJ+BMTGUt4JzNyIeviyYQ8e5RGIGllq6yAxzLceh27NRU23k/Pc3vtbOQi8jYVUCJtb1YBIahQ8A==" saltValue="55Dlk3Of+Tubs2kkfqaUSw==" spinCount="100000" sheet="1" objects="1" scenarios="1"/>
  <conditionalFormatting sqref="A4:G4">
    <cfRule type="expression" dxfId="108"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0CA8F-A620-491A-B86E-98003736C0FF}">
  <sheetPr codeName="Sheet14"/>
  <dimension ref="A1:L97"/>
  <sheetViews>
    <sheetView zoomScaleNormal="100" workbookViewId="0"/>
  </sheetViews>
  <sheetFormatPr defaultColWidth="0" defaultRowHeight="15" zeroHeight="1" x14ac:dyDescent="0.25"/>
  <cols>
    <col min="1" max="1" width="31.7109375" style="2" customWidth="1"/>
    <col min="2" max="7" width="16.7109375" style="2" customWidth="1"/>
    <col min="8" max="10" width="9.140625" style="31" hidden="1" customWidth="1"/>
    <col min="11" max="11" width="0" style="31" hidden="1" customWidth="1"/>
    <col min="12" max="12" width="0" style="2" hidden="1" customWidth="1"/>
    <col min="13" max="16384" width="9.140625" style="2" hidden="1"/>
  </cols>
  <sheetData>
    <row r="1" spans="1:9" ht="21" customHeight="1" x14ac:dyDescent="0.25">
      <c r="A1" s="27" t="s">
        <v>112</v>
      </c>
      <c r="B1" s="28"/>
      <c r="C1" s="28"/>
      <c r="D1" s="28"/>
      <c r="E1" s="28"/>
      <c r="F1" s="28"/>
      <c r="G1" s="28"/>
      <c r="I1" s="31" t="s">
        <v>86</v>
      </c>
    </row>
    <row r="2" spans="1:9" ht="18" customHeight="1" x14ac:dyDescent="0.25">
      <c r="A2" s="29" t="s">
        <v>131</v>
      </c>
      <c r="B2" s="28"/>
      <c r="C2" s="28"/>
      <c r="D2" s="28"/>
      <c r="E2" s="28"/>
      <c r="F2" s="28"/>
      <c r="G2" s="28"/>
      <c r="I2" s="31" t="s">
        <v>111</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F5"/>
      <c r="G5"/>
      <c r="H5" s="32"/>
    </row>
    <row r="6" spans="1:9" ht="72" customHeight="1" x14ac:dyDescent="0.25">
      <c r="A6" s="16" t="s">
        <v>102</v>
      </c>
      <c r="B6" s="16" t="s">
        <v>96</v>
      </c>
      <c r="C6" s="16" t="s">
        <v>97</v>
      </c>
      <c r="D6" s="16" t="s">
        <v>98</v>
      </c>
      <c r="E6" s="16" t="s">
        <v>99</v>
      </c>
      <c r="F6"/>
      <c r="G6"/>
      <c r="I6" s="31" t="s">
        <v>84</v>
      </c>
    </row>
    <row r="7" spans="1:9" ht="17.100000000000001" customHeight="1" x14ac:dyDescent="0.25">
      <c r="A7" s="10" t="s">
        <v>107</v>
      </c>
      <c r="B7" s="18">
        <f>SUMIFS(HicRawData[Veteran Beds HH w/o Children],
HicRawData[Project Type],$I$2,
HicRawData[Inventory Type],"C",
HicRawData[HMIS Participating],$I7)</f>
        <v>0</v>
      </c>
      <c r="C7" s="18">
        <f>SUMIFS(HicRawData[Veteran Beds HH w/ Children],
HicRawData[Project Type],$I$2,
HicRawData[Inventory Type],"C",
HicRawData[HMIS Participating],$I7)</f>
        <v>0</v>
      </c>
      <c r="D7" s="18">
        <v>0</v>
      </c>
      <c r="E7" s="18">
        <f>SUM(Vets_HmisParticipation[[#This Row],[Households without Children]:[Households with only Children]])</f>
        <v>0</v>
      </c>
      <c r="F7"/>
      <c r="G7"/>
      <c r="I7" s="31" t="s">
        <v>9</v>
      </c>
    </row>
    <row r="8" spans="1:9" ht="17.100000000000001" customHeight="1" x14ac:dyDescent="0.25">
      <c r="A8" s="10" t="s">
        <v>108</v>
      </c>
      <c r="B8" s="18">
        <f>SUMIFS(HicRawData[Veteran Beds HH w/o Children],
HicRawData[Project Type],$I$2,
HicRawData[Inventory Type],"C",
HicRawData[HMIS Participating],$I8)</f>
        <v>89</v>
      </c>
      <c r="C8" s="18">
        <f>SUMIFS(HicRawData[Veteran Beds HH w/ Children],
HicRawData[Project Type],$I$2,
HicRawData[Inventory Type],"C",
HicRawData[HMIS Participating],$I8)</f>
        <v>82</v>
      </c>
      <c r="D8" s="18">
        <v>0</v>
      </c>
      <c r="E8" s="18">
        <f>SUM(Vets_HmisParticipation[[#This Row],[Households without Children]:[Households with only Children]])</f>
        <v>171</v>
      </c>
      <c r="F8"/>
      <c r="G8"/>
      <c r="I8" s="31" t="s">
        <v>12</v>
      </c>
    </row>
    <row r="9" spans="1:9" ht="17.100000000000001" customHeight="1" x14ac:dyDescent="0.25">
      <c r="A9" s="10" t="s">
        <v>130</v>
      </c>
      <c r="B9" s="18">
        <f>SUMIFS(HicRawData[Veteran Beds HH w/o Children],
HicRawData[Project Type],$I$2,
HicRawData[Inventory Type],"C",
HicRawData[HMIS Participating],$I9)</f>
        <v>0</v>
      </c>
      <c r="C9" s="18">
        <f>SUMIFS(HicRawData[Veteran Beds HH w/ Children],
HicRawData[Project Type],$I$2,
HicRawData[Inventory Type],"C",
HicRawData[HMIS Participating],$I9)</f>
        <v>0</v>
      </c>
      <c r="D9" s="18">
        <v>0</v>
      </c>
      <c r="E9" s="18">
        <f>SUM(Vets_HmisParticipation[[#This Row],[Households without Children]:[Households with only Children]])</f>
        <v>0</v>
      </c>
      <c r="F9"/>
      <c r="G9"/>
      <c r="I9" s="31" t="s">
        <v>115</v>
      </c>
    </row>
    <row r="10" spans="1:9" ht="17.100000000000001" customHeight="1" x14ac:dyDescent="0.25">
      <c r="A10" s="2" t="s">
        <v>100</v>
      </c>
      <c r="B10" s="18">
        <f>SUBTOTAL(109,Vets_HmisParticipation[Households without Children])</f>
        <v>89</v>
      </c>
      <c r="C10" s="18">
        <f>SUBTOTAL(109,Vets_HmisParticipation[Households with Children])</f>
        <v>82</v>
      </c>
      <c r="D10" s="18">
        <f>SUBTOTAL(109,Vets_HmisParticipation[Households with only Children])</f>
        <v>0</v>
      </c>
      <c r="E10" s="18">
        <f>SUBTOTAL(109,Vets_HmisParticipation[Total Year-Round Beds])</f>
        <v>171</v>
      </c>
      <c r="F10"/>
      <c r="G10"/>
    </row>
    <row r="11" spans="1:9" ht="15" customHeight="1" x14ac:dyDescent="0.25">
      <c r="A11" s="4" t="s">
        <v>101</v>
      </c>
      <c r="B11" s="19" t="str">
        <f>IF(B7=0,"N/A",B7/Vets_HmisParticipation[[#Totals],[Households without Children]])</f>
        <v>N/A</v>
      </c>
      <c r="C11" s="19" t="str">
        <f>IF(C7=0,"N/A",C7/Vets_HmisParticipation[[#Totals],[Households with Children]])</f>
        <v>N/A</v>
      </c>
      <c r="D11" s="19" t="str">
        <f>IF(D7=0,"N/A",D7/Vets_HmisParticipation[[#Totals],[Households with only Children]])</f>
        <v>N/A</v>
      </c>
      <c r="E11" s="19" t="str">
        <f>IF(E7=0,"N/A",E7/Vets_HmisParticipation[[#Totals],[Total Year-Round Beds]])</f>
        <v>N/A</v>
      </c>
      <c r="F11"/>
      <c r="G11"/>
    </row>
    <row r="12" spans="1:9" ht="15" customHeight="1" x14ac:dyDescent="0.25">
      <c r="A12" s="4"/>
      <c r="B12" s="5"/>
      <c r="C12" s="5"/>
      <c r="D12" s="5"/>
      <c r="E12" s="5"/>
      <c r="F12"/>
      <c r="G12"/>
    </row>
    <row r="13" spans="1:9" ht="72" customHeight="1" x14ac:dyDescent="0.25">
      <c r="A13" s="15" t="s">
        <v>127</v>
      </c>
      <c r="B13" s="15" t="s">
        <v>96</v>
      </c>
      <c r="C13" s="15" t="s">
        <v>97</v>
      </c>
      <c r="D13" s="15" t="s">
        <v>98</v>
      </c>
      <c r="E13" s="15" t="s">
        <v>99</v>
      </c>
      <c r="F13"/>
      <c r="G13"/>
      <c r="I13" s="31" t="s">
        <v>84</v>
      </c>
    </row>
    <row r="14" spans="1:9" ht="17.100000000000001" customHeight="1" x14ac:dyDescent="0.25">
      <c r="A14" s="10" t="s">
        <v>113</v>
      </c>
      <c r="B14" s="18">
        <f>SUMIFS(HicRawData[Veteran Beds HH w/o Children],
HicRawData[Project Type],$I$2,
HicRawData[Inventory Type],"C",
HicRawData[HMIS Participating],$I14,
HicRawData[Victim Service Provider],0)</f>
        <v>0</v>
      </c>
      <c r="C14" s="18">
        <f>SUMIFS(HicRawData[Veteran Beds HH w/ Children],
HicRawData[Project Type],$I$2,
HicRawData[Inventory Type],"C",
HicRawData[HMIS Participating],$I14,
HicRawData[Victim Service Provider],0)</f>
        <v>0</v>
      </c>
      <c r="D14" s="18">
        <v>0</v>
      </c>
      <c r="E14" s="18">
        <f>SUM(Vets_NonVspHmisParticipation[[#This Row],[Households without Children]:[Households with only Children]])</f>
        <v>0</v>
      </c>
      <c r="F14"/>
      <c r="G14"/>
      <c r="I14" s="31" t="s">
        <v>9</v>
      </c>
    </row>
    <row r="15" spans="1:9" ht="17.100000000000001" customHeight="1" x14ac:dyDescent="0.25">
      <c r="A15" s="10" t="s">
        <v>114</v>
      </c>
      <c r="B15" s="18">
        <f>SUMIFS(HicRawData[Veteran Beds HH w/o Children],
HicRawData[Project Type],$I$2,
HicRawData[Inventory Type],"C",
HicRawData[HMIS Participating],$I15,
HicRawData[Victim Service Provider],0)</f>
        <v>89</v>
      </c>
      <c r="C15" s="18">
        <f>SUMIFS(HicRawData[Veteran Beds HH w/ Children],
HicRawData[Project Type],$I$2,
HicRawData[Inventory Type],"C",
HicRawData[HMIS Participating],$I15,
HicRawData[Victim Service Provider],0)</f>
        <v>82</v>
      </c>
      <c r="D15" s="18">
        <v>0</v>
      </c>
      <c r="E15" s="18">
        <f>SUM(Vets_NonVspHmisParticipation[[#This Row],[Households without Children]:[Households with only Children]])</f>
        <v>171</v>
      </c>
      <c r="F15"/>
      <c r="G15"/>
      <c r="I15" s="31" t="s">
        <v>12</v>
      </c>
    </row>
    <row r="16" spans="1:9" ht="17.100000000000001" customHeight="1" x14ac:dyDescent="0.25">
      <c r="A16" s="10" t="s">
        <v>129</v>
      </c>
      <c r="B16" s="18">
        <f>SUMIFS(HicRawData[Veteran Beds HH w/o Children],
HicRawData[Project Type],$I$2,
HicRawData[Inventory Type],"C",
HicRawData[HMIS Participating],$I16,
HicRawData[Victim Service Provider],0)</f>
        <v>0</v>
      </c>
      <c r="C16" s="18">
        <f>SUMIFS(HicRawData[Veteran Beds HH w/ Children],
HicRawData[Project Type],$I$2,
HicRawData[Inventory Type],"C",
HicRawData[HMIS Participating],$I16,
HicRawData[Victim Service Provider],0)</f>
        <v>0</v>
      </c>
      <c r="D16" s="18">
        <v>0</v>
      </c>
      <c r="E16" s="18">
        <f>SUM(Vets_NonVspHmisParticipation[[#This Row],[Households without Children]:[Households with only Children]])</f>
        <v>0</v>
      </c>
      <c r="F16" s="35"/>
      <c r="G16" s="35"/>
      <c r="I16" s="31" t="s">
        <v>115</v>
      </c>
    </row>
    <row r="17" spans="1:9" ht="17.100000000000001" customHeight="1" x14ac:dyDescent="0.25">
      <c r="A17" s="10" t="s">
        <v>100</v>
      </c>
      <c r="B17" s="20">
        <f>SUBTOTAL(109,Vets_NonVspHmisParticipation[Households without Children])</f>
        <v>89</v>
      </c>
      <c r="C17" s="20">
        <f>SUBTOTAL(109,Vets_NonVspHmisParticipation[Households with Children])</f>
        <v>82</v>
      </c>
      <c r="D17" s="20">
        <f>SUBTOTAL(109,Vets_NonVspHmisParticipation[Households with only Children])</f>
        <v>0</v>
      </c>
      <c r="E17" s="20">
        <f>SUBTOTAL(109,Vets_NonVspHmisParticipation[Total Year-Round Beds])</f>
        <v>171</v>
      </c>
      <c r="F17" s="20"/>
      <c r="G17" s="20"/>
    </row>
    <row r="18" spans="1:9" ht="15" customHeight="1" x14ac:dyDescent="0.25">
      <c r="A18" s="4" t="s">
        <v>128</v>
      </c>
      <c r="B18" s="19" t="str">
        <f>IF(B14=0,"N/A",B14/Vets_NonVspHmisParticipation[[#Totals],[Households without Children]])</f>
        <v>N/A</v>
      </c>
      <c r="C18" s="19" t="str">
        <f>IF(C14=0,"N/A",C14/Vets_NonVspHmisParticipation[[#Totals],[Households with Children]])</f>
        <v>N/A</v>
      </c>
      <c r="D18" s="19" t="str">
        <f>IF(D14=0,"N/A",D14/Vets_NonVspHmisParticipation[[#Totals],[Households with only Children]])</f>
        <v>N/A</v>
      </c>
      <c r="E18" s="19" t="str">
        <f>IF(E14=0,"N/A",E14/Vets_NonVspHmisParticipation[[#Totals],[Total Year-Round Beds]])</f>
        <v>N/A</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32"/>
    </row>
    <row r="21" spans="1:9" ht="17.100000000000001" customHeight="1" x14ac:dyDescent="0.25">
      <c r="A21" s="2" t="s">
        <v>8</v>
      </c>
      <c r="B21" s="22">
        <f>SUMIFS(HicRawData[Veteran Beds HH w/o Children],
HicRawData[Project Type],$I$2,
HicRawData[Inventory Type],"C",
HicRawData[Target Population],Vets_TargetPopulation[[#This Row],[Beds by Target Population]])</f>
        <v>0</v>
      </c>
      <c r="C21" s="22">
        <f>SUMIFS(HicRawData[Veteran Beds HH w/ Children],
HicRawData[Project Type],$I$2,
HicRawData[Inventory Type],"C",
HicRawData[Target Population],Vets_TargetPopulation[[#This Row],[Beds by Target Population]])</f>
        <v>0</v>
      </c>
      <c r="D21" s="22">
        <v>0</v>
      </c>
      <c r="E21" s="22">
        <f>SUM(Vets_TargetPopulation[[#This Row],[Households without Children]:[Households with only Children]])</f>
        <v>0</v>
      </c>
    </row>
    <row r="22" spans="1:9" ht="17.100000000000001" customHeight="1" x14ac:dyDescent="0.25">
      <c r="A22" s="2" t="s">
        <v>10</v>
      </c>
      <c r="B22" s="22">
        <f>SUMIFS(HicRawData[Veteran Beds HH w/o Children],
HicRawData[Project Type],$I$2,
HicRawData[Inventory Type],"C",
HicRawData[Target Population],Vets_TargetPopulation[[#This Row],[Beds by Target Population]])</f>
        <v>0</v>
      </c>
      <c r="C22" s="22">
        <f>SUMIFS(HicRawData[Veteran Beds HH w/ Children],
HicRawData[Project Type],$I$2,
HicRawData[Inventory Type],"C",
HicRawData[Target Population],Vets_TargetPopulation[[#This Row],[Beds by Target Population]])</f>
        <v>0</v>
      </c>
      <c r="D22" s="22">
        <v>0</v>
      </c>
      <c r="E22" s="22">
        <f>SUM(Vets_TargetPopulation[[#This Row],[Households without Children]:[Households with only Children]])</f>
        <v>0</v>
      </c>
    </row>
    <row r="23" spans="1:9" ht="17.100000000000001" customHeight="1" x14ac:dyDescent="0.25">
      <c r="A23" s="2" t="s">
        <v>0</v>
      </c>
      <c r="B23" s="22">
        <f>SUMIFS(HicRawData[Veteran Beds HH w/o Children],
HicRawData[Project Type],$I$2,
HicRawData[Inventory Type],"C",
HicRawData[Target Population],Vets_TargetPopulation[[#This Row],[Beds by Target Population]])</f>
        <v>89</v>
      </c>
      <c r="C23" s="22">
        <f>SUMIFS(HicRawData[Veteran Beds HH w/ Children],
HicRawData[Project Type],$I$2,
HicRawData[Inventory Type],"C",
HicRawData[Target Population],Vets_TargetPopulation[[#This Row],[Beds by Target Population]])</f>
        <v>82</v>
      </c>
      <c r="D23" s="22">
        <v>0</v>
      </c>
      <c r="E23" s="22">
        <f>SUM(Vets_TargetPopulation[[#This Row],[Households without Children]:[Households with only Children]])</f>
        <v>171</v>
      </c>
    </row>
    <row r="24" spans="1:9" ht="15" customHeight="1" x14ac:dyDescent="0.25">
      <c r="A24" s="2" t="s">
        <v>100</v>
      </c>
      <c r="B24" s="23">
        <f>SUBTOTAL(109,Vets_TargetPopulation[Households without Children])</f>
        <v>89</v>
      </c>
      <c r="C24" s="23">
        <f>SUBTOTAL(109,Vets_TargetPopulation[Households with Children])</f>
        <v>82</v>
      </c>
      <c r="D24" s="23">
        <f>SUBTOTAL(109,Vets_TargetPopulation[Households with only Children])</f>
        <v>0</v>
      </c>
      <c r="E24" s="23">
        <f>SUBTOTAL(109,Vets_TargetPopulation[Total Year-Round Beds])</f>
        <v>171</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SUMIFS(HicRawData[Veteran Beds HH w/o Children],
HicRawData[Project Type],$I$2,
HicRawData[Inventory Type],$I27)</f>
        <v>89</v>
      </c>
      <c r="C27" s="22">
        <f>SUMIFS(HicRawData[Veteran Beds HH w/ Children],
HicRawData[Project Type],$I$2,
HicRawData[Inventory Type],$I27)</f>
        <v>82</v>
      </c>
      <c r="D27" s="22">
        <v>0</v>
      </c>
      <c r="E27" s="22">
        <f>SUM(Vets_InventoryType[[#This Row],[Households without Children]:[Households with only Children]])</f>
        <v>171</v>
      </c>
      <c r="I27" s="31" t="s">
        <v>1</v>
      </c>
    </row>
    <row r="28" spans="1:9" ht="17.100000000000001" customHeight="1" x14ac:dyDescent="0.25">
      <c r="A28" s="2" t="s">
        <v>106</v>
      </c>
      <c r="B28" s="22">
        <f>SUMIFS(HicRawData[Veteran Beds HH w/o Children],
HicRawData[Project Type],$I$2,
HicRawData[Inventory Type],$I28)</f>
        <v>0</v>
      </c>
      <c r="C28" s="22">
        <f>SUMIFS(HicRawData[Veteran Beds HH w/ Children],
HicRawData[Project Type],$I$2,
HicRawData[Inventory Type],$I28)</f>
        <v>0</v>
      </c>
      <c r="D28" s="22">
        <v>0</v>
      </c>
      <c r="E28" s="22">
        <f>SUM(Vets_InventoryType[[#This Row],[Households without Children]:[Households with only Children]])</f>
        <v>0</v>
      </c>
      <c r="I28" s="31" t="s">
        <v>6</v>
      </c>
    </row>
    <row r="29" spans="1:9" ht="15" customHeight="1" x14ac:dyDescent="0.25">
      <c r="A29" s="2" t="s">
        <v>100</v>
      </c>
      <c r="B29" s="23">
        <f>SUBTOTAL(109,Vets_InventoryType[Households without Children])</f>
        <v>89</v>
      </c>
      <c r="C29" s="23">
        <f>SUBTOTAL(109,Vets_InventoryType[Households with Children])</f>
        <v>82</v>
      </c>
      <c r="D29" s="23">
        <f>SUBTOTAL(109,Vets_InventoryType[Households with only Children])</f>
        <v>0</v>
      </c>
      <c r="E29" s="23">
        <f>SUBTOTAL(109,Vets_InventoryType[Total Year-Round Beds])</f>
        <v>171</v>
      </c>
    </row>
    <row r="30" spans="1:9" ht="15" customHeight="1" x14ac:dyDescent="0.25">
      <c r="B30" s="23"/>
      <c r="C30" s="23"/>
      <c r="D30" s="23"/>
      <c r="E30" s="23"/>
    </row>
    <row r="31" spans="1:9" ht="72" customHeight="1" x14ac:dyDescent="0.25">
      <c r="A31"/>
      <c r="B31"/>
      <c r="C31"/>
      <c r="D31"/>
      <c r="E31"/>
      <c r="F31"/>
      <c r="I31" s="31" t="s">
        <v>84</v>
      </c>
    </row>
    <row r="32" spans="1:9" ht="15" customHeight="1" x14ac:dyDescent="0.25">
      <c r="A32"/>
      <c r="B32"/>
      <c r="C32"/>
      <c r="D32"/>
      <c r="E32"/>
      <c r="F32"/>
      <c r="I32" s="31" t="s">
        <v>9</v>
      </c>
    </row>
    <row r="33" spans="1:12" ht="15" customHeight="1" x14ac:dyDescent="0.25">
      <c r="A33"/>
      <c r="B33"/>
      <c r="C33"/>
      <c r="D33"/>
      <c r="E33"/>
      <c r="F33"/>
      <c r="I33" s="31" t="s">
        <v>12</v>
      </c>
    </row>
    <row r="34" spans="1:12" ht="15" customHeight="1" x14ac:dyDescent="0.25">
      <c r="A34"/>
      <c r="B34"/>
      <c r="C34"/>
      <c r="D34"/>
      <c r="E34"/>
      <c r="F34"/>
      <c r="I34" s="31" t="s">
        <v>115</v>
      </c>
    </row>
    <row r="35" spans="1:12" ht="15" customHeight="1" x14ac:dyDescent="0.25">
      <c r="A35"/>
      <c r="B35"/>
      <c r="C35"/>
      <c r="D35"/>
      <c r="E35"/>
      <c r="F35"/>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SUMIFS(HicRawData[Veteran Beds HH w/o Children],
HicRawData[Project Type],$I$2,
HicRawData[Inventory Type],"C",
HicRawData[Project Type], Vets_ProjectType[[#This Row],[All Beds by Project Type]])</f>
        <v>0</v>
      </c>
      <c r="C38" s="22">
        <f>SUMIFS(HicRawData[Veteran Beds HH w/ Children],
HicRawData[Project Type],$I$2,
HicRawData[Inventory Type],"C",
HicRawData[Project Type], Vets_ProjectType[[#This Row],[All Beds by Project Type]])</f>
        <v>0</v>
      </c>
      <c r="D38" s="22">
        <v>0</v>
      </c>
      <c r="E38" s="22">
        <f>SUM(Vets_ProjectType[[#This Row],[Households without Children]:[Households with only Children]])</f>
        <v>0</v>
      </c>
    </row>
    <row r="39" spans="1:12" ht="17.100000000000001" customHeight="1" x14ac:dyDescent="0.25">
      <c r="A39" s="2" t="s">
        <v>2</v>
      </c>
      <c r="B39" s="22">
        <f>SUMIFS(HicRawData[Veteran Beds HH w/o Children],
HicRawData[Project Type],$I$2,
HicRawData[Inventory Type],"C",
HicRawData[Project Type], Vets_ProjectType[[#This Row],[All Beds by Project Type]])</f>
        <v>0</v>
      </c>
      <c r="C39" s="22">
        <f>SUMIFS(HicRawData[Veteran Beds HH w/ Children],
HicRawData[Project Type],$I$2,
HicRawData[Inventory Type],"C",
HicRawData[Project Type], Vets_ProjectType[[#This Row],[All Beds by Project Type]])</f>
        <v>0</v>
      </c>
      <c r="D39" s="22">
        <v>0</v>
      </c>
      <c r="E39" s="22">
        <f>SUM(Vets_ProjectType[[#This Row],[Households without Children]:[Households with only Children]])</f>
        <v>0</v>
      </c>
      <c r="H39" s="33"/>
    </row>
    <row r="40" spans="1:12" ht="17.100000000000001" customHeight="1" x14ac:dyDescent="0.25">
      <c r="A40" s="2" t="s">
        <v>11</v>
      </c>
      <c r="B40" s="22">
        <f>SUMIFS(HicRawData[Veteran Beds HH w/o Children],
HicRawData[Project Type],$I$2,
HicRawData[Inventory Type],"C",
HicRawData[Project Type], Vets_ProjectType[[#This Row],[All Beds by Project Type]])</f>
        <v>0</v>
      </c>
      <c r="C40" s="22">
        <f>SUMIFS(HicRawData[Veteran Beds HH w/ Children],
HicRawData[Project Type],$I$2,
HicRawData[Inventory Type],"C",
HicRawData[Project Type], Vets_ProjectType[[#This Row],[All Beds by Project Type]])</f>
        <v>0</v>
      </c>
      <c r="D40" s="22">
        <v>0</v>
      </c>
      <c r="E40" s="22">
        <f>SUM(Vets_ProjectType[[#This Row],[Households without Children]:[Households with only Children]])</f>
        <v>0</v>
      </c>
      <c r="H40" s="33"/>
    </row>
    <row r="41" spans="1:12" ht="17.100000000000001" customHeight="1" x14ac:dyDescent="0.25">
      <c r="A41" s="2" t="s">
        <v>4</v>
      </c>
      <c r="B41" s="22">
        <f>SUMIFS(HicRawData[Veteran Beds HH w/o Children],
HicRawData[Project Type],$I$2,
HicRawData[Inventory Type],"C",
HicRawData[Project Type], Vets_ProjectType[[#This Row],[All Beds by Project Type]])</f>
        <v>14</v>
      </c>
      <c r="C41" s="22">
        <f>SUMIFS(HicRawData[Veteran Beds HH w/ Children],
HicRawData[Project Type],$I$2,
HicRawData[Inventory Type],"C",
HicRawData[Project Type], Vets_ProjectType[[#This Row],[All Beds by Project Type]])</f>
        <v>7</v>
      </c>
      <c r="D41" s="22">
        <v>0</v>
      </c>
      <c r="E41" s="22">
        <f>SUM(Vets_ProjectType[[#This Row],[Households without Children]:[Households with only Children]])</f>
        <v>21</v>
      </c>
    </row>
    <row r="42" spans="1:12" ht="17.100000000000001" customHeight="1" x14ac:dyDescent="0.25">
      <c r="A42" s="2" t="s">
        <v>5</v>
      </c>
      <c r="B42" s="22">
        <f>SUMIFS(HicRawData[Veteran Beds HH w/o Children],
HicRawData[Project Type],$I$2,
HicRawData[Inventory Type],"C",
HicRawData[Project Type], Vets_ProjectType[[#This Row],[All Beds by Project Type]])</f>
        <v>75</v>
      </c>
      <c r="C42" s="22">
        <f>SUMIFS(HicRawData[Veteran Beds HH w/ Children],
HicRawData[Project Type],$I$2,
HicRawData[Inventory Type],"C",
HicRawData[Project Type], Vets_ProjectType[[#This Row],[All Beds by Project Type]])</f>
        <v>75</v>
      </c>
      <c r="D42" s="22">
        <v>0</v>
      </c>
      <c r="E42" s="22">
        <f>SUM(Vets_ProjectType[[#This Row],[Households without Children]:[Households with only Children]])</f>
        <v>150</v>
      </c>
    </row>
    <row r="43" spans="1:12" ht="17.100000000000001" customHeight="1" x14ac:dyDescent="0.25">
      <c r="A43" s="2" t="s">
        <v>7</v>
      </c>
      <c r="B43" s="22">
        <f>SUMIFS(HicRawData[Veteran Beds HH w/o Children],
HicRawData[Project Type],$I$2,
HicRawData[Inventory Type],"C",
HicRawData[Project Type], Vets_ProjectType[[#This Row],[All Beds by Project Type]])</f>
        <v>0</v>
      </c>
      <c r="C43" s="22">
        <f>SUMIFS(HicRawData[Veteran Beds HH w/ Children],
HicRawData[Project Type],$I$2,
HicRawData[Inventory Type],"C",
HicRawData[Project Type], Vets_ProjectType[[#This Row],[All Beds by Project Type]])</f>
        <v>0</v>
      </c>
      <c r="D43" s="22">
        <v>0</v>
      </c>
      <c r="E43" s="22">
        <f>SUM(Vets_ProjectType[[#This Row],[Households without Children]:[Households with only Children]])</f>
        <v>0</v>
      </c>
    </row>
    <row r="44" spans="1:12" ht="15" customHeight="1" x14ac:dyDescent="0.25">
      <c r="A44" s="2" t="s">
        <v>100</v>
      </c>
      <c r="B44" s="23">
        <f>SUBTOTAL(109,Vets_ProjectType[Households without Children])</f>
        <v>89</v>
      </c>
      <c r="C44" s="23">
        <f>SUBTOTAL(109,Vets_ProjectType[Households with Children])</f>
        <v>82</v>
      </c>
      <c r="D44" s="23">
        <f>SUBTOTAL(109,Vets_ProjectType[Households with only Children])</f>
        <v>0</v>
      </c>
      <c r="E44" s="23">
        <f>SUBTOTAL(109,Vets_ProjectType[Total Year-Round Beds])</f>
        <v>171</v>
      </c>
    </row>
    <row r="45" spans="1:12" ht="15" customHeight="1" x14ac:dyDescent="0.25">
      <c r="B45" s="23"/>
      <c r="C45" s="23"/>
      <c r="D45" s="23"/>
      <c r="E45" s="23"/>
    </row>
    <row r="46" spans="1:12" ht="72" customHeight="1" x14ac:dyDescent="0.25">
      <c r="A46" s="16" t="s">
        <v>125</v>
      </c>
      <c r="B46" s="16" t="s">
        <v>96</v>
      </c>
      <c r="C46" s="16" t="s">
        <v>97</v>
      </c>
      <c r="D46" s="16" t="s">
        <v>98</v>
      </c>
      <c r="E46" s="16" t="s">
        <v>99</v>
      </c>
      <c r="J46" s="34"/>
      <c r="K46" s="34"/>
      <c r="L46" s="12"/>
    </row>
    <row r="47" spans="1:12" ht="17.100000000000001" customHeight="1" x14ac:dyDescent="0.25">
      <c r="A47" s="2" t="s">
        <v>3</v>
      </c>
      <c r="B47" s="22">
        <f>SUMIFS(HicRawData[Veteran Beds HH w/o Children],
HicRawData[Project Type],$I$2,
HicRawData[Inventory Type],"C",
HicRawData[Project Type], Vets_ProjectTypeHmisParticipation[[#This Row],[HMIS Beds by Project Type]],
HicRawData[HMIS Participating], "Yes")</f>
        <v>0</v>
      </c>
      <c r="C47" s="22">
        <f>SUMIFS(HicRawData[Veteran Beds HH w/ Children],
HicRawData[Project Type],$I$2,
HicRawData[Inventory Type],"C",
HicRawData[Project Type], Vets_ProjectTypeHmisParticipation[[#This Row],[HMIS Beds by Project Type]],
HicRawData[HMIS Participating], "Yes")</f>
        <v>0</v>
      </c>
      <c r="D47" s="22">
        <v>0</v>
      </c>
      <c r="E47" s="21">
        <f>B47+C47+D47</f>
        <v>0</v>
      </c>
    </row>
    <row r="48" spans="1:12" ht="17.100000000000001" customHeight="1" x14ac:dyDescent="0.25">
      <c r="A48" s="2" t="s">
        <v>2</v>
      </c>
      <c r="B48" s="21">
        <f>SUMIFS(HicRawData[Veteran Beds HH w/o Children],
HicRawData[Project Type],$I$2,
HicRawData[Inventory Type],"C",
HicRawData[Project Type], Vets_ProjectTypeHmisParticipation[[#This Row],[HMIS Beds by Project Type]],
HicRawData[HMIS Participating], "Yes")</f>
        <v>0</v>
      </c>
      <c r="C48" s="21">
        <f>SUMIFS(HicRawData[Veteran Beds HH w/ Children],
HicRawData[Project Type],$I$2,
HicRawData[Inventory Type],"C",
HicRawData[Project Type], Vets_ProjectTypeHmisParticipation[[#This Row],[HMIS Beds by Project Type]],
HicRawData[HMIS Participating], "Yes")</f>
        <v>0</v>
      </c>
      <c r="D48" s="21">
        <v>0</v>
      </c>
      <c r="E48" s="21">
        <f t="shared" ref="E48:E52" si="0">B48+C48+D48</f>
        <v>0</v>
      </c>
    </row>
    <row r="49" spans="1:5" ht="17.100000000000001" customHeight="1" x14ac:dyDescent="0.25">
      <c r="A49" s="2" t="s">
        <v>11</v>
      </c>
      <c r="B49" s="21">
        <f>SUMIFS(HicRawData[Veteran Beds HH w/o Children],
HicRawData[Project Type],$I$2,
HicRawData[Inventory Type],"C",
HicRawData[Project Type], Vets_ProjectTypeHmisParticipation[[#This Row],[HMIS Beds by Project Type]],
HicRawData[HMIS Participating], "Yes")</f>
        <v>0</v>
      </c>
      <c r="C49" s="21">
        <f>SUMIFS(HicRawData[Veteran Beds HH w/ Children],
HicRawData[Project Type],$I$2,
HicRawData[Inventory Type],"C",
HicRawData[Project Type], Vets_ProjectTypeHmisParticipation[[#This Row],[HMIS Beds by Project Type]],
HicRawData[HMIS Participating], "Yes")</f>
        <v>0</v>
      </c>
      <c r="D49" s="21">
        <v>0</v>
      </c>
      <c r="E49" s="21">
        <f t="shared" si="0"/>
        <v>0</v>
      </c>
    </row>
    <row r="50" spans="1:5" ht="17.100000000000001" customHeight="1" x14ac:dyDescent="0.25">
      <c r="A50" s="2" t="s">
        <v>4</v>
      </c>
      <c r="B50" s="21">
        <f>SUMIFS(HicRawData[Veteran Beds HH w/o Children],
HicRawData[Project Type],$I$2,
HicRawData[Inventory Type],"C",
HicRawData[Project Type], Vets_ProjectTypeHmisParticipation[[#This Row],[HMIS Beds by Project Type]],
HicRawData[HMIS Participating], "Yes")</f>
        <v>0</v>
      </c>
      <c r="C50" s="21">
        <f>SUMIFS(HicRawData[Veteran Beds HH w/ Children],
HicRawData[Project Type],$I$2,
HicRawData[Inventory Type],"C",
HicRawData[Project Type], Vets_ProjectTypeHmisParticipation[[#This Row],[HMIS Beds by Project Type]],
HicRawData[HMIS Participating], "Yes")</f>
        <v>0</v>
      </c>
      <c r="D50" s="21">
        <v>0</v>
      </c>
      <c r="E50" s="21">
        <f t="shared" si="0"/>
        <v>0</v>
      </c>
    </row>
    <row r="51" spans="1:5" ht="17.100000000000001" customHeight="1" x14ac:dyDescent="0.25">
      <c r="A51" s="2" t="s">
        <v>5</v>
      </c>
      <c r="B51" s="21">
        <f>SUMIFS(HicRawData[Veteran Beds HH w/o Children],
HicRawData[Project Type],$I$2,
HicRawData[Inventory Type],"C",
HicRawData[Project Type], Vets_ProjectTypeHmisParticipation[[#This Row],[HMIS Beds by Project Type]],
HicRawData[HMIS Participating], "Yes")</f>
        <v>0</v>
      </c>
      <c r="C51" s="21">
        <f>SUMIFS(HicRawData[Veteran Beds HH w/ Children],
HicRawData[Project Type],$I$2,
HicRawData[Inventory Type],"C",
HicRawData[Project Type], Vets_ProjectTypeHmisParticipation[[#This Row],[HMIS Beds by Project Type]],
HicRawData[HMIS Participating], "Yes")</f>
        <v>0</v>
      </c>
      <c r="D51" s="21">
        <v>0</v>
      </c>
      <c r="E51" s="21">
        <f t="shared" si="0"/>
        <v>0</v>
      </c>
    </row>
    <row r="52" spans="1:5" ht="17.100000000000001" customHeight="1" x14ac:dyDescent="0.25">
      <c r="A52" s="2" t="s">
        <v>7</v>
      </c>
      <c r="B52" s="21">
        <f>SUMIFS(HicRawData[Veteran Beds HH w/o Children],
HicRawData[Project Type],$I$2,
HicRawData[Inventory Type],"C",
HicRawData[Project Type], Vets_ProjectTypeHmisParticipation[[#This Row],[HMIS Beds by Project Type]],
HicRawData[HMIS Participating], "Yes")</f>
        <v>0</v>
      </c>
      <c r="C52" s="21">
        <f>SUMIFS(HicRawData[Veteran Beds HH w/ Children],
HicRawData[Project Type],$I$2,
HicRawData[Inventory Type],"C",
HicRawData[Project Type], Vets_ProjectTypeHmisParticipation[[#This Row],[HMIS Beds by Project Type]],
HicRawData[HMIS Participating], "Yes")</f>
        <v>0</v>
      </c>
      <c r="D52" s="21">
        <v>0</v>
      </c>
      <c r="E52" s="21">
        <f t="shared" si="0"/>
        <v>0</v>
      </c>
    </row>
    <row r="53" spans="1:5" x14ac:dyDescent="0.25">
      <c r="A53" s="2" t="s">
        <v>100</v>
      </c>
      <c r="B53" s="24">
        <f>SUBTOTAL(109,Vets_ProjectTypeHmisParticipation[Households without Children])</f>
        <v>0</v>
      </c>
      <c r="C53" s="24">
        <f>SUBTOTAL(109,Vets_ProjectTypeHmisParticipation[Households with Children])</f>
        <v>0</v>
      </c>
      <c r="D53" s="24">
        <f>SUBTOTAL(109,Vets_ProjectTypeHmisParticipation[Households with only Children])</f>
        <v>0</v>
      </c>
      <c r="E53" s="21">
        <f>SUBTOTAL(109,Vets_ProjectTypeHmisParticipation[Total Year-Round Beds])</f>
        <v>0</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10"/>
      <c r="B60" s="11"/>
    </row>
    <row r="61" spans="1:5" x14ac:dyDescent="0.25">
      <c r="A61" s="10"/>
      <c r="B61" s="11"/>
    </row>
    <row r="62" spans="1:5" x14ac:dyDescent="0.25">
      <c r="A62" s="10"/>
      <c r="B62" s="11"/>
    </row>
    <row r="63" spans="1:5" x14ac:dyDescent="0.25">
      <c r="A63" s="10"/>
      <c r="B63" s="1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qoAJW5CiDyyJbN0w6/IfJZvq1+ksRQJxXTexMhEwFHrwdCNWsKS8VB5e3/cEDlEM257YjF7paA22sJHN4W2L1Q==" saltValue="zFVrzoJhyBAI6e4yMf/oSg==" spinCount="100000" sheet="1" objects="1" scenarios="1"/>
  <conditionalFormatting sqref="A4:G4">
    <cfRule type="expression" dxfId="107"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3FE2A-8DB3-44D0-A3FD-05FE1C194A8D}">
  <sheetPr codeName="Sheet16"/>
  <dimension ref="A1:L97"/>
  <sheetViews>
    <sheetView zoomScaleNormal="100" workbookViewId="0"/>
  </sheetViews>
  <sheetFormatPr defaultColWidth="0" defaultRowHeight="15" zeroHeight="1" x14ac:dyDescent="0.25"/>
  <cols>
    <col min="1" max="1" width="31.7109375" style="2" customWidth="1"/>
    <col min="2" max="7" width="16.7109375" style="2" customWidth="1"/>
    <col min="8" max="10" width="9.140625" style="31" hidden="1" customWidth="1"/>
    <col min="11" max="11" width="0" style="31" hidden="1" customWidth="1"/>
    <col min="12" max="12" width="0" style="2" hidden="1" customWidth="1"/>
    <col min="13" max="16384" width="9.140625" style="2" hidden="1"/>
  </cols>
  <sheetData>
    <row r="1" spans="1:9" ht="21" customHeight="1" x14ac:dyDescent="0.25">
      <c r="A1" s="27" t="s">
        <v>112</v>
      </c>
      <c r="B1" s="28"/>
      <c r="C1" s="28"/>
      <c r="D1" s="28"/>
      <c r="E1" s="28"/>
      <c r="F1"/>
      <c r="G1"/>
      <c r="I1" s="31" t="s">
        <v>86</v>
      </c>
    </row>
    <row r="2" spans="1:9" ht="18" customHeight="1" x14ac:dyDescent="0.25">
      <c r="A2" s="29" t="s">
        <v>132</v>
      </c>
      <c r="B2" s="28"/>
      <c r="C2" s="28"/>
      <c r="D2" s="28"/>
      <c r="E2" s="28"/>
      <c r="F2"/>
      <c r="G2"/>
      <c r="I2" s="31" t="s">
        <v>111</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F5"/>
      <c r="G5"/>
      <c r="H5" s="32"/>
    </row>
    <row r="6" spans="1:9" ht="72" customHeight="1" x14ac:dyDescent="0.25">
      <c r="A6" s="16" t="s">
        <v>102</v>
      </c>
      <c r="B6" s="16" t="s">
        <v>96</v>
      </c>
      <c r="C6" s="16" t="s">
        <v>97</v>
      </c>
      <c r="D6" s="16" t="s">
        <v>98</v>
      </c>
      <c r="E6" s="16" t="s">
        <v>99</v>
      </c>
      <c r="F6"/>
      <c r="G6"/>
      <c r="I6" s="31" t="s">
        <v>84</v>
      </c>
    </row>
    <row r="7" spans="1:9" ht="17.100000000000001" customHeight="1" x14ac:dyDescent="0.25">
      <c r="A7" s="10" t="s">
        <v>107</v>
      </c>
      <c r="B7" s="18">
        <f>SUMIFS(HicRawData[Youth Beds HH w/o Children],
HicRawData[Project Type],$I$2,
HicRawData[Inventory Type],"C",
HicRawData[HMIS Participating],$I7)</f>
        <v>0</v>
      </c>
      <c r="C7" s="18">
        <f>SUMIFS(HicRawData[Youth Beds HH w/ Children],
HicRawData[Project Type],$I$2,
HicRawData[Inventory Type],"C",
HicRawData[HMIS Participating],$I7)</f>
        <v>0</v>
      </c>
      <c r="D7" s="18">
        <v>0</v>
      </c>
      <c r="E7" s="18">
        <f>SUM(Youth_HmisParticipation[[#This Row],[Households without Children]:[Households with only Children]])</f>
        <v>0</v>
      </c>
      <c r="F7"/>
      <c r="G7"/>
      <c r="I7" s="31" t="s">
        <v>9</v>
      </c>
    </row>
    <row r="8" spans="1:9" ht="17.100000000000001" customHeight="1" x14ac:dyDescent="0.25">
      <c r="A8" s="10" t="s">
        <v>108</v>
      </c>
      <c r="B8" s="18">
        <f>SUMIFS(HicRawData[Youth Beds HH w/o Children],
HicRawData[Project Type],$I$2,
HicRawData[Inventory Type],"C",
HicRawData[HMIS Participating],$I8)</f>
        <v>0</v>
      </c>
      <c r="C8" s="18">
        <f>SUMIFS(HicRawData[Youth Beds HH w/ Children],
HicRawData[Project Type],$I$2,
HicRawData[Inventory Type],"C",
HicRawData[HMIS Participating],$I8)</f>
        <v>0</v>
      </c>
      <c r="D8" s="18">
        <v>0</v>
      </c>
      <c r="E8" s="18">
        <f>SUM(Youth_HmisParticipation[[#This Row],[Households without Children]:[Households with only Children]])</f>
        <v>0</v>
      </c>
      <c r="F8"/>
      <c r="G8"/>
      <c r="I8" s="31" t="s">
        <v>12</v>
      </c>
    </row>
    <row r="9" spans="1:9" ht="17.100000000000001" customHeight="1" x14ac:dyDescent="0.25">
      <c r="A9" s="10" t="s">
        <v>130</v>
      </c>
      <c r="B9" s="18">
        <f>SUMIFS(HicRawData[Youth Beds HH w/o Children],
HicRawData[Project Type],$I$2,
HicRawData[Inventory Type],"C",
HicRawData[HMIS Participating],$I9)</f>
        <v>0</v>
      </c>
      <c r="C9" s="18">
        <f>SUMIFS(HicRawData[Youth Beds HH w/ Children],
HicRawData[Project Type],$I$2,
HicRawData[Inventory Type],"C",
HicRawData[HMIS Participating],$I9)</f>
        <v>0</v>
      </c>
      <c r="D9" s="18">
        <v>0</v>
      </c>
      <c r="E9" s="18">
        <f>SUM(Youth_HmisParticipation[[#This Row],[Households without Children]:[Households with only Children]])</f>
        <v>0</v>
      </c>
      <c r="F9"/>
      <c r="G9"/>
      <c r="I9" s="31" t="s">
        <v>115</v>
      </c>
    </row>
    <row r="10" spans="1:9" ht="17.100000000000001" customHeight="1" x14ac:dyDescent="0.25">
      <c r="A10" s="2" t="s">
        <v>100</v>
      </c>
      <c r="B10" s="18">
        <f>SUBTOTAL(109,Youth_HmisParticipation[Households without Children])</f>
        <v>0</v>
      </c>
      <c r="C10" s="18">
        <f>SUBTOTAL(109,Youth_HmisParticipation[Households with Children])</f>
        <v>0</v>
      </c>
      <c r="D10" s="18">
        <f>SUBTOTAL(109,Youth_HmisParticipation[Households with only Children])</f>
        <v>0</v>
      </c>
      <c r="E10" s="18">
        <f>SUBTOTAL(109,Youth_HmisParticipation[Total Year-Round Beds])</f>
        <v>0</v>
      </c>
      <c r="F10"/>
      <c r="G10"/>
    </row>
    <row r="11" spans="1:9" ht="15" customHeight="1" x14ac:dyDescent="0.25">
      <c r="A11" s="4" t="s">
        <v>101</v>
      </c>
      <c r="B11" s="19" t="str">
        <f>IF(B7=0,"N/A",B7/Youth_HmisParticipation[[#Totals],[Households without Children]])</f>
        <v>N/A</v>
      </c>
      <c r="C11" s="19" t="str">
        <f>IF(C7=0,"N/A",C7/Youth_HmisParticipation[[#Totals],[Households with Children]])</f>
        <v>N/A</v>
      </c>
      <c r="D11" s="19" t="str">
        <f>IF(D7=0,"N/A",D7/Youth_HmisParticipation[[#Totals],[Households with only Children]])</f>
        <v>N/A</v>
      </c>
      <c r="E11" s="19" t="str">
        <f>IF(E7=0,"N/A",E7/Youth_HmisParticipation[[#Totals],[Total Year-Round Beds]])</f>
        <v>N/A</v>
      </c>
      <c r="F11"/>
      <c r="G11"/>
    </row>
    <row r="12" spans="1:9" ht="15" customHeight="1" x14ac:dyDescent="0.25">
      <c r="A12" s="4"/>
      <c r="B12" s="5"/>
      <c r="C12" s="5"/>
      <c r="D12" s="5"/>
      <c r="E12" s="5"/>
      <c r="F12"/>
      <c r="G12"/>
    </row>
    <row r="13" spans="1:9" ht="72" customHeight="1" x14ac:dyDescent="0.25">
      <c r="A13" s="15" t="s">
        <v>127</v>
      </c>
      <c r="B13" s="15" t="s">
        <v>96</v>
      </c>
      <c r="C13" s="15" t="s">
        <v>97</v>
      </c>
      <c r="D13" s="15" t="s">
        <v>98</v>
      </c>
      <c r="E13" s="15" t="s">
        <v>99</v>
      </c>
      <c r="F13"/>
      <c r="G13"/>
      <c r="I13" s="31" t="s">
        <v>84</v>
      </c>
    </row>
    <row r="14" spans="1:9" ht="17.100000000000001" customHeight="1" x14ac:dyDescent="0.25">
      <c r="A14" s="10" t="s">
        <v>113</v>
      </c>
      <c r="B14" s="18">
        <f>SUMIFS(HicRawData[Youth Beds HH w/o Children],
HicRawData[Project Type],$I$2,
HicRawData[Inventory Type],"C",
HicRawData[HMIS Participating],$I14,
HicRawData[Victim Service Provider],0)</f>
        <v>0</v>
      </c>
      <c r="C14" s="18">
        <f>SUMIFS(HicRawData[Youth Beds HH w/ Children],
HicRawData[Project Type],$I$2,
HicRawData[Inventory Type],"C",
HicRawData[HMIS Participating],$I14,
HicRawData[Victim Service Provider],0)</f>
        <v>0</v>
      </c>
      <c r="D14" s="18">
        <v>0</v>
      </c>
      <c r="E14" s="18">
        <f>SUM(Youth_NonVspHmisParticipation[[#This Row],[Households without Children]:[Households with only Children]])</f>
        <v>0</v>
      </c>
      <c r="F14" s="35"/>
      <c r="G14" s="35"/>
      <c r="I14" s="31" t="s">
        <v>9</v>
      </c>
    </row>
    <row r="15" spans="1:9" ht="17.100000000000001" customHeight="1" x14ac:dyDescent="0.25">
      <c r="A15" s="10" t="s">
        <v>114</v>
      </c>
      <c r="B15" s="18">
        <f>SUMIFS(HicRawData[Youth Beds HH w/o Children],
HicRawData[Project Type],$I$2,
HicRawData[Inventory Type],"C",
HicRawData[HMIS Participating],$I15,
HicRawData[Victim Service Provider],0)</f>
        <v>0</v>
      </c>
      <c r="C15" s="18">
        <f>SUMIFS(HicRawData[Youth Beds HH w/ Children],
HicRawData[Project Type],$I$2,
HicRawData[Inventory Type],"C",
HicRawData[HMIS Participating],$I15,
HicRawData[Victim Service Provider],0)</f>
        <v>0</v>
      </c>
      <c r="D15" s="18">
        <v>0</v>
      </c>
      <c r="E15" s="18">
        <f>SUM(Youth_NonVspHmisParticipation[[#This Row],[Households without Children]:[Households with only Children]])</f>
        <v>0</v>
      </c>
      <c r="F15" s="35"/>
      <c r="G15" s="35"/>
      <c r="I15" s="31" t="s">
        <v>12</v>
      </c>
    </row>
    <row r="16" spans="1:9" ht="17.100000000000001" customHeight="1" x14ac:dyDescent="0.25">
      <c r="A16" s="10" t="s">
        <v>129</v>
      </c>
      <c r="B16" s="18">
        <f>SUMIFS(HicRawData[Youth Beds HH w/o Children],
HicRawData[Project Type],$I$2,
HicRawData[Inventory Type],"C",
HicRawData[HMIS Participating],$I16,
HicRawData[Victim Service Provider],0)</f>
        <v>0</v>
      </c>
      <c r="C16" s="18">
        <f>SUMIFS(HicRawData[Youth Beds HH w/ Children],
HicRawData[Project Type],$I$2,
HicRawData[Inventory Type],"C",
HicRawData[HMIS Participating],$I16,
HicRawData[Victim Service Provider],0)</f>
        <v>0</v>
      </c>
      <c r="D16" s="18">
        <v>0</v>
      </c>
      <c r="E16" s="18">
        <f>SUM(Youth_NonVspHmisParticipation[[#This Row],[Households without Children]:[Households with only Children]])</f>
        <v>0</v>
      </c>
      <c r="F16" s="35"/>
      <c r="G16" s="35"/>
      <c r="I16" s="31" t="s">
        <v>115</v>
      </c>
    </row>
    <row r="17" spans="1:9" ht="17.100000000000001" customHeight="1" x14ac:dyDescent="0.25">
      <c r="A17" s="10" t="s">
        <v>100</v>
      </c>
      <c r="B17" s="20">
        <f>SUBTOTAL(109,Youth_NonVspHmisParticipation[Households without Children])</f>
        <v>0</v>
      </c>
      <c r="C17" s="20">
        <f>SUBTOTAL(109,Youth_NonVspHmisParticipation[Households with Children])</f>
        <v>0</v>
      </c>
      <c r="D17" s="20">
        <f>SUBTOTAL(109,Youth_NonVspHmisParticipation[Households with only Children])</f>
        <v>0</v>
      </c>
      <c r="E17" s="20">
        <f>SUBTOTAL(109,Youth_NonVspHmisParticipation[Total Year-Round Beds])</f>
        <v>0</v>
      </c>
      <c r="F17" s="20"/>
      <c r="G17" s="20"/>
    </row>
    <row r="18" spans="1:9" ht="15" customHeight="1" x14ac:dyDescent="0.25">
      <c r="A18" s="4" t="s">
        <v>128</v>
      </c>
      <c r="B18" s="19" t="str">
        <f>IF(B14=0,"N/A",B14/Youth_NonVspHmisParticipation[[#Totals],[Households without Children]])</f>
        <v>N/A</v>
      </c>
      <c r="C18" s="19" t="str">
        <f>IF(C14=0,"N/A",C14/Youth_NonVspHmisParticipation[[#Totals],[Households with Children]])</f>
        <v>N/A</v>
      </c>
      <c r="D18" s="19" t="str">
        <f>IF(D14=0,"N/A",D14/Youth_NonVspHmisParticipation[[#Totals],[Households with only Children]])</f>
        <v>N/A</v>
      </c>
      <c r="E18" s="19" t="str">
        <f>IF(E14=0,"N/A",E14/Youth_NonVspHmisParticipation[[#Totals],[Total Year-Round Beds]])</f>
        <v>N/A</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32"/>
    </row>
    <row r="21" spans="1:9" ht="17.100000000000001" customHeight="1" x14ac:dyDescent="0.25">
      <c r="A21" s="2" t="s">
        <v>8</v>
      </c>
      <c r="B21" s="22">
        <f>SUMIFS(HicRawData[Youth Beds HH w/o Children],
HicRawData[Project Type],$I$2,
HicRawData[Inventory Type],"C",
HicRawData[Target Population],Youth_TargetPopulation[[#This Row],[Beds by Target Population]])</f>
        <v>0</v>
      </c>
      <c r="C21" s="22">
        <f>SUMIFS(HicRawData[Youth Beds HH w/ Children],
HicRawData[Project Type],$I$2,
HicRawData[Inventory Type],"C",
HicRawData[Target Population],Youth_TargetPopulation[[#This Row],[Beds by Target Population]])</f>
        <v>0</v>
      </c>
      <c r="D21" s="22">
        <v>0</v>
      </c>
      <c r="E21" s="22">
        <f>SUM(Youth_TargetPopulation[[#This Row],[Households without Children]:[Households with only Children]])</f>
        <v>0</v>
      </c>
    </row>
    <row r="22" spans="1:9" ht="17.100000000000001" customHeight="1" x14ac:dyDescent="0.25">
      <c r="A22" s="2" t="s">
        <v>10</v>
      </c>
      <c r="B22" s="22">
        <f>SUMIFS(HicRawData[Youth Beds HH w/o Children],
HicRawData[Project Type],$I$2,
HicRawData[Inventory Type],"C",
HicRawData[Target Population],Youth_TargetPopulation[[#This Row],[Beds by Target Population]])</f>
        <v>0</v>
      </c>
      <c r="C22" s="22">
        <f>SUMIFS(HicRawData[Youth Beds HH w/ Children],
HicRawData[Project Type],$I$2,
HicRawData[Inventory Type],"C",
HicRawData[Target Population],Youth_TargetPopulation[[#This Row],[Beds by Target Population]])</f>
        <v>0</v>
      </c>
      <c r="D22" s="22">
        <v>0</v>
      </c>
      <c r="E22" s="22">
        <f>SUM(Youth_TargetPopulation[[#This Row],[Households without Children]:[Households with only Children]])</f>
        <v>0</v>
      </c>
    </row>
    <row r="23" spans="1:9" ht="17.100000000000001" customHeight="1" x14ac:dyDescent="0.25">
      <c r="A23" s="2" t="s">
        <v>0</v>
      </c>
      <c r="B23" s="22">
        <f>SUMIFS(HicRawData[Youth Beds HH w/o Children],
HicRawData[Project Type],$I$2,
HicRawData[Inventory Type],"C",
HicRawData[Target Population],Youth_TargetPopulation[[#This Row],[Beds by Target Population]])</f>
        <v>0</v>
      </c>
      <c r="C23" s="22">
        <f>SUMIFS(HicRawData[Youth Beds HH w/ Children],
HicRawData[Project Type],$I$2,
HicRawData[Inventory Type],"C",
HicRawData[Target Population],Youth_TargetPopulation[[#This Row],[Beds by Target Population]])</f>
        <v>0</v>
      </c>
      <c r="D23" s="22">
        <v>0</v>
      </c>
      <c r="E23" s="22">
        <f>SUM(Youth_TargetPopulation[[#This Row],[Households without Children]:[Households with only Children]])</f>
        <v>0</v>
      </c>
    </row>
    <row r="24" spans="1:9" ht="15" customHeight="1" x14ac:dyDescent="0.25">
      <c r="A24" s="2" t="s">
        <v>100</v>
      </c>
      <c r="B24" s="23">
        <f>SUBTOTAL(109,Youth_TargetPopulation[Households without Children])</f>
        <v>0</v>
      </c>
      <c r="C24" s="23">
        <f>SUBTOTAL(109,Youth_TargetPopulation[Households with Children])</f>
        <v>0</v>
      </c>
      <c r="D24" s="23">
        <f>SUBTOTAL(109,Youth_TargetPopulation[Households with only Children])</f>
        <v>0</v>
      </c>
      <c r="E24" s="23">
        <f>SUBTOTAL(109,Youth_TargetPopulation[Total Year-Round Beds])</f>
        <v>0</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SUMIFS(HicRawData[Youth Beds HH w/o Children],
HicRawData[Project Type],$I$2,
HicRawData[Inventory Type],$I27)</f>
        <v>0</v>
      </c>
      <c r="C27" s="22">
        <f>SUMIFS(HicRawData[Youth Beds HH w/ Children],
HicRawData[Project Type],$I$2,
HicRawData[Inventory Type],$I27)</f>
        <v>0</v>
      </c>
      <c r="D27" s="22">
        <v>0</v>
      </c>
      <c r="E27" s="22">
        <f>SUM(Youth_InventoryType[[#This Row],[Households without Children]:[Households with only Children]])</f>
        <v>0</v>
      </c>
      <c r="I27" s="31" t="s">
        <v>1</v>
      </c>
    </row>
    <row r="28" spans="1:9" ht="17.100000000000001" customHeight="1" x14ac:dyDescent="0.25">
      <c r="A28" s="2" t="s">
        <v>106</v>
      </c>
      <c r="B28" s="22">
        <f>SUMIFS(HicRawData[Youth Beds HH w/o Children],
HicRawData[Project Type],$I$2,
HicRawData[Inventory Type],$I28)</f>
        <v>0</v>
      </c>
      <c r="C28" s="22">
        <f>SUMIFS(HicRawData[Youth Beds HH w/ Children],
HicRawData[Project Type],$I$2,
HicRawData[Inventory Type],$I28)</f>
        <v>0</v>
      </c>
      <c r="D28" s="22">
        <v>0</v>
      </c>
      <c r="E28" s="22">
        <f>SUM(Youth_InventoryType[[#This Row],[Households without Children]:[Households with only Children]])</f>
        <v>0</v>
      </c>
      <c r="I28" s="31" t="s">
        <v>6</v>
      </c>
    </row>
    <row r="29" spans="1:9" ht="15" customHeight="1" x14ac:dyDescent="0.25">
      <c r="A29" s="2" t="s">
        <v>100</v>
      </c>
      <c r="B29" s="23">
        <f>SUBTOTAL(109,Youth_InventoryType[Households without Children])</f>
        <v>0</v>
      </c>
      <c r="C29" s="23">
        <f>SUBTOTAL(109,Youth_InventoryType[Households with Children])</f>
        <v>0</v>
      </c>
      <c r="D29" s="23">
        <f>SUBTOTAL(109,Youth_InventoryType[Households with only Children])</f>
        <v>0</v>
      </c>
      <c r="E29" s="23">
        <f>SUBTOTAL(109,Youth_InventoryType[Total Year-Round Beds])</f>
        <v>0</v>
      </c>
    </row>
    <row r="30" spans="1:9" ht="15" customHeight="1" x14ac:dyDescent="0.25">
      <c r="B30" s="23"/>
      <c r="C30" s="23"/>
      <c r="D30" s="23"/>
      <c r="E30" s="23"/>
    </row>
    <row r="31" spans="1:9" ht="72" customHeight="1" x14ac:dyDescent="0.25">
      <c r="A31"/>
      <c r="B31"/>
      <c r="C31"/>
      <c r="D31"/>
      <c r="E31"/>
      <c r="F31"/>
      <c r="I31" s="31" t="s">
        <v>84</v>
      </c>
    </row>
    <row r="32" spans="1:9" ht="15" customHeight="1" x14ac:dyDescent="0.25">
      <c r="A32"/>
      <c r="B32"/>
      <c r="C32"/>
      <c r="D32"/>
      <c r="E32"/>
      <c r="F32"/>
      <c r="I32" s="31" t="s">
        <v>9</v>
      </c>
    </row>
    <row r="33" spans="1:12" ht="15" customHeight="1" x14ac:dyDescent="0.25">
      <c r="A33"/>
      <c r="B33"/>
      <c r="C33"/>
      <c r="D33"/>
      <c r="E33"/>
      <c r="F33"/>
      <c r="I33" s="31" t="s">
        <v>12</v>
      </c>
    </row>
    <row r="34" spans="1:12" ht="15" customHeight="1" x14ac:dyDescent="0.25">
      <c r="A34"/>
      <c r="B34"/>
      <c r="C34"/>
      <c r="D34"/>
      <c r="E34"/>
      <c r="F34"/>
      <c r="I34" s="31" t="s">
        <v>115</v>
      </c>
    </row>
    <row r="35" spans="1:12" ht="15" customHeight="1" x14ac:dyDescent="0.25">
      <c r="A35"/>
      <c r="B35"/>
      <c r="C35"/>
      <c r="D35"/>
      <c r="E35"/>
      <c r="F35"/>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SUMIFS(HicRawData[Youth Beds HH w/o Children],
HicRawData[Project Type],$I$2,
HicRawData[Inventory Type],"C",
HicRawData[Project Type], Youth_ProjectType[[#This Row],[All Beds by Project Type]])</f>
        <v>0</v>
      </c>
      <c r="C38" s="22">
        <f>SUMIFS(HicRawData[Youth Beds HH w/ Children],
HicRawData[Project Type],$I$2,
HicRawData[Inventory Type],"C",
HicRawData[Project Type], Youth_ProjectType[[#This Row],[All Beds by Project Type]])</f>
        <v>0</v>
      </c>
      <c r="D38" s="22">
        <v>0</v>
      </c>
      <c r="E38" s="22">
        <f>SUM(Youth_ProjectType[[#This Row],[Households without Children]:[Households with only Children]])</f>
        <v>0</v>
      </c>
    </row>
    <row r="39" spans="1:12" ht="17.100000000000001" customHeight="1" x14ac:dyDescent="0.25">
      <c r="A39" s="2" t="s">
        <v>2</v>
      </c>
      <c r="B39" s="22">
        <f>SUMIFS(HicRawData[Youth Beds HH w/o Children],
HicRawData[Project Type],$I$2,
HicRawData[Inventory Type],"C",
HicRawData[Project Type], Youth_ProjectType[[#This Row],[All Beds by Project Type]])</f>
        <v>0</v>
      </c>
      <c r="C39" s="22">
        <f>SUMIFS(HicRawData[Youth Beds HH w/ Children],
HicRawData[Project Type],$I$2,
HicRawData[Inventory Type],"C",
HicRawData[Project Type], Youth_ProjectType[[#This Row],[All Beds by Project Type]])</f>
        <v>0</v>
      </c>
      <c r="D39" s="22">
        <v>0</v>
      </c>
      <c r="E39" s="22">
        <f>SUM(Youth_ProjectType[[#This Row],[Households without Children]:[Households with only Children]])</f>
        <v>0</v>
      </c>
      <c r="H39" s="33"/>
    </row>
    <row r="40" spans="1:12" ht="17.100000000000001" customHeight="1" x14ac:dyDescent="0.25">
      <c r="A40" s="2" t="s">
        <v>11</v>
      </c>
      <c r="B40" s="22">
        <f>SUMIFS(HicRawData[Youth Beds HH w/o Children],
HicRawData[Project Type],$I$2,
HicRawData[Inventory Type],"C",
HicRawData[Project Type], Youth_ProjectType[[#This Row],[All Beds by Project Type]])</f>
        <v>0</v>
      </c>
      <c r="C40" s="22">
        <f>SUMIFS(HicRawData[Youth Beds HH w/ Children],
HicRawData[Project Type],$I$2,
HicRawData[Inventory Type],"C",
HicRawData[Project Type], Youth_ProjectType[[#This Row],[All Beds by Project Type]])</f>
        <v>0</v>
      </c>
      <c r="D40" s="22">
        <v>0</v>
      </c>
      <c r="E40" s="22">
        <f>SUM(Youth_ProjectType[[#This Row],[Households without Children]:[Households with only Children]])</f>
        <v>0</v>
      </c>
      <c r="H40" s="33"/>
    </row>
    <row r="41" spans="1:12" ht="17.100000000000001" customHeight="1" x14ac:dyDescent="0.25">
      <c r="A41" s="2" t="s">
        <v>4</v>
      </c>
      <c r="B41" s="22">
        <f>SUMIFS(HicRawData[Youth Beds HH w/o Children],
HicRawData[Project Type],$I$2,
HicRawData[Inventory Type],"C",
HicRawData[Project Type], Youth_ProjectType[[#This Row],[All Beds by Project Type]])</f>
        <v>0</v>
      </c>
      <c r="C41" s="22">
        <f>SUMIFS(HicRawData[Youth Beds HH w/ Children],
HicRawData[Project Type],$I$2,
HicRawData[Inventory Type],"C",
HicRawData[Project Type], Youth_ProjectType[[#This Row],[All Beds by Project Type]])</f>
        <v>0</v>
      </c>
      <c r="D41" s="22">
        <v>0</v>
      </c>
      <c r="E41" s="22">
        <f>SUM(Youth_ProjectType[[#This Row],[Households without Children]:[Households with only Children]])</f>
        <v>0</v>
      </c>
    </row>
    <row r="42" spans="1:12" ht="17.100000000000001" customHeight="1" x14ac:dyDescent="0.25">
      <c r="A42" s="2" t="s">
        <v>5</v>
      </c>
      <c r="B42" s="22">
        <f>SUMIFS(HicRawData[Youth Beds HH w/o Children],
HicRawData[Project Type],$I$2,
HicRawData[Inventory Type],"C",
HicRawData[Project Type], Youth_ProjectType[[#This Row],[All Beds by Project Type]])</f>
        <v>0</v>
      </c>
      <c r="C42" s="22">
        <f>SUMIFS(HicRawData[Youth Beds HH w/ Children],
HicRawData[Project Type],$I$2,
HicRawData[Inventory Type],"C",
HicRawData[Project Type], Youth_ProjectType[[#This Row],[All Beds by Project Type]])</f>
        <v>0</v>
      </c>
      <c r="D42" s="22">
        <v>0</v>
      </c>
      <c r="E42" s="22">
        <f>SUM(Youth_ProjectType[[#This Row],[Households without Children]:[Households with only Children]])</f>
        <v>0</v>
      </c>
    </row>
    <row r="43" spans="1:12" ht="17.100000000000001" customHeight="1" x14ac:dyDescent="0.25">
      <c r="A43" s="2" t="s">
        <v>7</v>
      </c>
      <c r="B43" s="22">
        <f>SUMIFS(HicRawData[Youth Beds HH w/o Children],
HicRawData[Project Type],$I$2,
HicRawData[Inventory Type],"C",
HicRawData[Project Type], Youth_ProjectType[[#This Row],[All Beds by Project Type]])</f>
        <v>0</v>
      </c>
      <c r="C43" s="22">
        <f>SUMIFS(HicRawData[Youth Beds HH w/ Children],
HicRawData[Project Type],$I$2,
HicRawData[Inventory Type],"C",
HicRawData[Project Type], Youth_ProjectType[[#This Row],[All Beds by Project Type]])</f>
        <v>0</v>
      </c>
      <c r="D43" s="22">
        <v>0</v>
      </c>
      <c r="E43" s="22">
        <f>SUM(Youth_ProjectType[[#This Row],[Households without Children]:[Households with only Children]])</f>
        <v>0</v>
      </c>
    </row>
    <row r="44" spans="1:12" ht="15" customHeight="1" x14ac:dyDescent="0.25">
      <c r="A44" s="2" t="s">
        <v>100</v>
      </c>
      <c r="B44" s="23">
        <f>SUBTOTAL(109,Youth_ProjectType[Households without Children])</f>
        <v>0</v>
      </c>
      <c r="C44" s="23">
        <f>SUBTOTAL(109,Youth_ProjectType[Households with Children])</f>
        <v>0</v>
      </c>
      <c r="D44" s="23">
        <f>SUBTOTAL(109,Youth_ProjectType[Households with only Children])</f>
        <v>0</v>
      </c>
      <c r="E44" s="23">
        <f>SUBTOTAL(109,Youth_ProjectType[Total Year-Round Beds])</f>
        <v>0</v>
      </c>
    </row>
    <row r="45" spans="1:12" ht="15" customHeight="1" x14ac:dyDescent="0.25">
      <c r="B45" s="23"/>
      <c r="C45" s="23"/>
      <c r="D45" s="23"/>
      <c r="E45" s="23"/>
    </row>
    <row r="46" spans="1:12" ht="72" customHeight="1" x14ac:dyDescent="0.25">
      <c r="A46" s="16" t="s">
        <v>125</v>
      </c>
      <c r="B46" s="16" t="s">
        <v>96</v>
      </c>
      <c r="C46" s="16" t="s">
        <v>97</v>
      </c>
      <c r="D46" s="16" t="s">
        <v>98</v>
      </c>
      <c r="E46" s="16" t="s">
        <v>99</v>
      </c>
      <c r="J46" s="34"/>
      <c r="K46" s="34"/>
      <c r="L46" s="12"/>
    </row>
    <row r="47" spans="1:12" ht="17.100000000000001" customHeight="1" x14ac:dyDescent="0.25">
      <c r="A47" s="2" t="s">
        <v>3</v>
      </c>
      <c r="B47" s="22">
        <f>SUMIFS(HicRawData[Youth Beds HH w/o Children],
HicRawData[Project Type],$I$2,
HicRawData[Inventory Type],"C",
HicRawData[Project Type], Youth_ProjectTypeHmisParticipation[[#This Row],[HMIS Beds by Project Type]],
HicRawData[HMIS Participating], "Yes")</f>
        <v>0</v>
      </c>
      <c r="C47" s="22">
        <f>SUMIFS(HicRawData[Youth Beds HH w/ Children],
HicRawData[Project Type],$I$2,
HicRawData[Inventory Type],"C",
HicRawData[Project Type], Youth_ProjectTypeHmisParticipation[[#This Row],[HMIS Beds by Project Type]],
HicRawData[HMIS Participating], "Yes")</f>
        <v>0</v>
      </c>
      <c r="D47" s="22">
        <v>0</v>
      </c>
      <c r="E47" s="21">
        <f>B47+C47+D47</f>
        <v>0</v>
      </c>
    </row>
    <row r="48" spans="1:12" ht="17.100000000000001" customHeight="1" x14ac:dyDescent="0.25">
      <c r="A48" s="2" t="s">
        <v>2</v>
      </c>
      <c r="B48" s="21">
        <f>SUMIFS(HicRawData[Youth Beds HH w/o Children],
HicRawData[Project Type],$I$2,
HicRawData[Inventory Type],"C",
HicRawData[Project Type], Youth_ProjectTypeHmisParticipation[[#This Row],[HMIS Beds by Project Type]],
HicRawData[HMIS Participating], "Yes")</f>
        <v>0</v>
      </c>
      <c r="C48" s="21">
        <f>SUMIFS(HicRawData[Youth Beds HH w/ Children],
HicRawData[Project Type],$I$2,
HicRawData[Inventory Type],"C",
HicRawData[Project Type], Youth_ProjectTypeHmisParticipation[[#This Row],[HMIS Beds by Project Type]],
HicRawData[HMIS Participating], "Yes")</f>
        <v>0</v>
      </c>
      <c r="D48" s="21">
        <v>0</v>
      </c>
      <c r="E48" s="21">
        <f t="shared" ref="E48:E52" si="0">B48+C48+D48</f>
        <v>0</v>
      </c>
    </row>
    <row r="49" spans="1:5" ht="17.100000000000001" customHeight="1" x14ac:dyDescent="0.25">
      <c r="A49" s="2" t="s">
        <v>11</v>
      </c>
      <c r="B49" s="21">
        <f>SUMIFS(HicRawData[Youth Beds HH w/o Children],
HicRawData[Project Type],$I$2,
HicRawData[Inventory Type],"C",
HicRawData[Project Type], Youth_ProjectTypeHmisParticipation[[#This Row],[HMIS Beds by Project Type]],
HicRawData[HMIS Participating], "Yes")</f>
        <v>0</v>
      </c>
      <c r="C49" s="21">
        <f>SUMIFS(HicRawData[Youth Beds HH w/ Children],
HicRawData[Project Type],$I$2,
HicRawData[Inventory Type],"C",
HicRawData[Project Type], Youth_ProjectTypeHmisParticipation[[#This Row],[HMIS Beds by Project Type]],
HicRawData[HMIS Participating], "Yes")</f>
        <v>0</v>
      </c>
      <c r="D49" s="21">
        <v>0</v>
      </c>
      <c r="E49" s="21">
        <f t="shared" si="0"/>
        <v>0</v>
      </c>
    </row>
    <row r="50" spans="1:5" ht="17.100000000000001" customHeight="1" x14ac:dyDescent="0.25">
      <c r="A50" s="2" t="s">
        <v>4</v>
      </c>
      <c r="B50" s="21">
        <f>SUMIFS(HicRawData[Youth Beds HH w/o Children],
HicRawData[Project Type],$I$2,
HicRawData[Inventory Type],"C",
HicRawData[Project Type], Youth_ProjectTypeHmisParticipation[[#This Row],[HMIS Beds by Project Type]],
HicRawData[HMIS Participating], "Yes")</f>
        <v>0</v>
      </c>
      <c r="C50" s="21">
        <f>SUMIFS(HicRawData[Youth Beds HH w/ Children],
HicRawData[Project Type],$I$2,
HicRawData[Inventory Type],"C",
HicRawData[Project Type], Youth_ProjectTypeHmisParticipation[[#This Row],[HMIS Beds by Project Type]],
HicRawData[HMIS Participating], "Yes")</f>
        <v>0</v>
      </c>
      <c r="D50" s="21">
        <v>0</v>
      </c>
      <c r="E50" s="21">
        <f t="shared" si="0"/>
        <v>0</v>
      </c>
    </row>
    <row r="51" spans="1:5" ht="17.100000000000001" customHeight="1" x14ac:dyDescent="0.25">
      <c r="A51" s="2" t="s">
        <v>5</v>
      </c>
      <c r="B51" s="21">
        <f>SUMIFS(HicRawData[Youth Beds HH w/o Children],
HicRawData[Project Type],$I$2,
HicRawData[Inventory Type],"C",
HicRawData[Project Type], Youth_ProjectTypeHmisParticipation[[#This Row],[HMIS Beds by Project Type]],
HicRawData[HMIS Participating], "Yes")</f>
        <v>0</v>
      </c>
      <c r="C51" s="21">
        <f>SUMIFS(HicRawData[Youth Beds HH w/ Children],
HicRawData[Project Type],$I$2,
HicRawData[Inventory Type],"C",
HicRawData[Project Type], Youth_ProjectTypeHmisParticipation[[#This Row],[HMIS Beds by Project Type]],
HicRawData[HMIS Participating], "Yes")</f>
        <v>0</v>
      </c>
      <c r="D51" s="21">
        <v>0</v>
      </c>
      <c r="E51" s="21">
        <f t="shared" si="0"/>
        <v>0</v>
      </c>
    </row>
    <row r="52" spans="1:5" ht="17.100000000000001" customHeight="1" x14ac:dyDescent="0.25">
      <c r="A52" s="2" t="s">
        <v>7</v>
      </c>
      <c r="B52" s="21">
        <f>SUMIFS(HicRawData[Youth Beds HH w/o Children],
HicRawData[Project Type],$I$2,
HicRawData[Inventory Type],"C",
HicRawData[Project Type], Youth_ProjectTypeHmisParticipation[[#This Row],[HMIS Beds by Project Type]],
HicRawData[HMIS Participating], "Yes")</f>
        <v>0</v>
      </c>
      <c r="C52" s="21">
        <f>SUMIFS(HicRawData[Youth Beds HH w/ Children],
HicRawData[Project Type],$I$2,
HicRawData[Inventory Type],"C",
HicRawData[Project Type], Youth_ProjectTypeHmisParticipation[[#This Row],[HMIS Beds by Project Type]],
HicRawData[HMIS Participating], "Yes")</f>
        <v>0</v>
      </c>
      <c r="D52" s="21">
        <v>0</v>
      </c>
      <c r="E52" s="21">
        <f t="shared" si="0"/>
        <v>0</v>
      </c>
    </row>
    <row r="53" spans="1:5" x14ac:dyDescent="0.25">
      <c r="A53" s="2" t="s">
        <v>100</v>
      </c>
      <c r="B53" s="24">
        <f>SUBTOTAL(109,Youth_ProjectTypeHmisParticipation[Households without Children])</f>
        <v>0</v>
      </c>
      <c r="C53" s="24">
        <f>SUBTOTAL(109,Youth_ProjectTypeHmisParticipation[Households with Children])</f>
        <v>0</v>
      </c>
      <c r="D53" s="24">
        <f>SUBTOTAL(109,Youth_ProjectTypeHmisParticipation[Households with only Children])</f>
        <v>0</v>
      </c>
      <c r="E53" s="21">
        <f>SUBTOTAL(109,Youth_ProjectTypeHmisParticipation[Total Year-Round Beds])</f>
        <v>0</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10"/>
      <c r="B60" s="11"/>
    </row>
    <row r="61" spans="1:5" x14ac:dyDescent="0.25">
      <c r="A61" s="10"/>
      <c r="B61" s="11"/>
    </row>
    <row r="62" spans="1:5" x14ac:dyDescent="0.25">
      <c r="A62" s="10"/>
      <c r="B62" s="11"/>
    </row>
    <row r="63" spans="1:5" x14ac:dyDescent="0.25">
      <c r="A63" s="10"/>
      <c r="B63" s="1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v6lhl8AWoptftZhqvBSbxu0EeXdAy0rGCMiK+FeDpjUg7zQKEGVJh1c5vRpibV/5+jBMXxoODcDyZWpSzGl9SQ==" saltValue="AyMZeL8v5XmFIb3V2x/nyw==" spinCount="100000" sheet="1" objects="1" scenarios="1"/>
  <phoneticPr fontId="23" type="noConversion"/>
  <conditionalFormatting sqref="A4:G4">
    <cfRule type="expression" dxfId="106"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A513F-481C-4764-BA46-2E03A68C613B}">
  <dimension ref="A1:D118"/>
  <sheetViews>
    <sheetView zoomScaleNormal="100" workbookViewId="0"/>
  </sheetViews>
  <sheetFormatPr defaultRowHeight="15" x14ac:dyDescent="0.25"/>
  <cols>
    <col min="1" max="1" width="41.5703125" customWidth="1"/>
    <col min="2" max="2" width="32.7109375" customWidth="1"/>
    <col min="3" max="3" width="28.42578125" customWidth="1"/>
    <col min="4" max="4" width="69.42578125" customWidth="1"/>
  </cols>
  <sheetData>
    <row r="1" spans="1:4" x14ac:dyDescent="0.25">
      <c r="A1" t="s">
        <v>93</v>
      </c>
      <c r="B1" t="str">
        <f ca="1">INDEX(INDIRECT(_xlfn.CONCAT("HicRawData[",A1,"]")),1,1)</f>
        <v>VA-604</v>
      </c>
    </row>
    <row r="2" spans="1:4" x14ac:dyDescent="0.25">
      <c r="A2" t="s">
        <v>13</v>
      </c>
      <c r="B2" t="str">
        <f ca="1">INDEX(INDIRECT(_xlfn.CONCAT("HicRawData[",A2,"]")),1,1)</f>
        <v>Prince William County CoC</v>
      </c>
      <c r="D2" s="36" t="str">
        <f ca="1">IF(show_heading_section,CONCATENATE(HudNum,": ",CoC),"")</f>
        <v>VA-604: Prince William County CoC</v>
      </c>
    </row>
    <row r="3" spans="1:4" x14ac:dyDescent="0.25">
      <c r="A3" t="s">
        <v>123</v>
      </c>
      <c r="B3">
        <f ca="1">INDEX(INDIRECT(_xlfn.CONCAT("HicRawData[",A3,"]")),1,1)</f>
        <v>2024</v>
      </c>
      <c r="D3" s="36" t="str">
        <f ca="1">IF(show_heading_section,CONCATENATE("HIC Date: ", TEXT(HIC_Date,"DDD m/d/yy")),"PASTE DATA INTO THE 'HicRawData' TAB TO POPULATE THIS TEMPLATE.")</f>
        <v>HIC Date: Wed 1/24/24</v>
      </c>
    </row>
    <row r="4" spans="1:4" x14ac:dyDescent="0.25">
      <c r="A4" t="s">
        <v>87</v>
      </c>
      <c r="B4" t="str">
        <f ca="1">TEXT(INDEX(INDIRECT(_xlfn.CONCAT("HicRawData[",A4,"]")),1,1),"m/d/yy")</f>
        <v>1/24/24</v>
      </c>
    </row>
    <row r="6" spans="1:4" x14ac:dyDescent="0.25">
      <c r="B6" s="37"/>
    </row>
    <row r="7" spans="1:4" x14ac:dyDescent="0.25">
      <c r="A7" s="38" t="s">
        <v>150</v>
      </c>
      <c r="B7" t="b">
        <f ca="1">AND(HudNum&lt;&gt;0,CoC&lt;&gt;0,Year&lt;&gt;0,HIC_Date&lt;&gt;0)</f>
        <v>1</v>
      </c>
    </row>
    <row r="11" spans="1:4" x14ac:dyDescent="0.25">
      <c r="A11" t="s">
        <v>134</v>
      </c>
      <c r="B11" t="s">
        <v>153</v>
      </c>
    </row>
    <row r="12" spans="1:4" x14ac:dyDescent="0.25">
      <c r="A12" t="s">
        <v>135</v>
      </c>
      <c r="B12" s="39">
        <v>45756.410416666666</v>
      </c>
    </row>
    <row r="14" spans="1:4" x14ac:dyDescent="0.25">
      <c r="A14" t="s">
        <v>142</v>
      </c>
      <c r="B14">
        <f>COUNTA(_xlfn.UNIQUE(HicRawData[#Headers]))</f>
        <v>94</v>
      </c>
    </row>
    <row r="15" spans="1:4" x14ac:dyDescent="0.25">
      <c r="A15" s="38" t="s">
        <v>144</v>
      </c>
      <c r="B15" t="b">
        <f>B14=94</f>
        <v>1</v>
      </c>
    </row>
    <row r="16" spans="1:4" x14ac:dyDescent="0.25">
      <c r="A16" t="s">
        <v>143</v>
      </c>
      <c r="B16">
        <f>SUM(B25:B118)</f>
        <v>94</v>
      </c>
    </row>
    <row r="17" spans="1:4" x14ac:dyDescent="0.25">
      <c r="A17" s="38" t="s">
        <v>145</v>
      </c>
      <c r="B17" t="b">
        <f>B16=94</f>
        <v>1</v>
      </c>
    </row>
    <row r="18" spans="1:4" x14ac:dyDescent="0.25">
      <c r="A18" t="s">
        <v>146</v>
      </c>
      <c r="B18">
        <f>COUNTA(HicRawData[#Headers])</f>
        <v>94</v>
      </c>
    </row>
    <row r="19" spans="1:4" x14ac:dyDescent="0.25">
      <c r="A19" s="38" t="s">
        <v>147</v>
      </c>
      <c r="B19" t="b">
        <f>B18=94</f>
        <v>1</v>
      </c>
    </row>
    <row r="20" spans="1:4" x14ac:dyDescent="0.25">
      <c r="A20" t="s">
        <v>148</v>
      </c>
      <c r="B20">
        <f>COUNTIF(HicRawData[Row '#],"&lt;&gt;"&amp;"")</f>
        <v>32</v>
      </c>
    </row>
    <row r="21" spans="1:4" x14ac:dyDescent="0.25">
      <c r="A21" s="46" t="s">
        <v>149</v>
      </c>
      <c r="B21" t="b">
        <f>B20&gt;0</f>
        <v>1</v>
      </c>
    </row>
    <row r="24" spans="1:4" x14ac:dyDescent="0.25">
      <c r="A24" s="36" t="s">
        <v>136</v>
      </c>
      <c r="B24" s="36" t="s">
        <v>141</v>
      </c>
    </row>
    <row r="25" spans="1:4" x14ac:dyDescent="0.25">
      <c r="A25" t="s">
        <v>95</v>
      </c>
      <c r="B25">
        <f>COUNTIF(HicRawData[#Headers],A25)</f>
        <v>1</v>
      </c>
      <c r="D25" s="48"/>
    </row>
    <row r="26" spans="1:4" x14ac:dyDescent="0.25">
      <c r="A26" t="s">
        <v>94</v>
      </c>
      <c r="B26">
        <f>COUNTIF(HicRawData[#Headers],A26)</f>
        <v>1</v>
      </c>
      <c r="D26" s="48"/>
    </row>
    <row r="27" spans="1:4" x14ac:dyDescent="0.25">
      <c r="A27" t="s">
        <v>13</v>
      </c>
      <c r="B27">
        <f>COUNTIF(HicRawData[#Headers],A27)</f>
        <v>1</v>
      </c>
      <c r="D27" s="48"/>
    </row>
    <row r="28" spans="1:4" x14ac:dyDescent="0.25">
      <c r="A28" t="s">
        <v>93</v>
      </c>
      <c r="B28">
        <f>COUNTIF(HicRawData[#Headers],A28)</f>
        <v>1</v>
      </c>
      <c r="D28" s="48"/>
    </row>
    <row r="29" spans="1:4" x14ac:dyDescent="0.25">
      <c r="A29" t="s">
        <v>92</v>
      </c>
      <c r="B29">
        <f>COUNTIF(HicRawData[#Headers],A29)</f>
        <v>1</v>
      </c>
      <c r="D29" s="48"/>
    </row>
    <row r="30" spans="1:4" x14ac:dyDescent="0.25">
      <c r="A30" t="s">
        <v>123</v>
      </c>
      <c r="B30">
        <f>COUNTIF(HicRawData[#Headers],A30)</f>
        <v>1</v>
      </c>
      <c r="D30" s="48"/>
    </row>
    <row r="31" spans="1:4" x14ac:dyDescent="0.25">
      <c r="A31" t="s">
        <v>91</v>
      </c>
      <c r="B31">
        <f>COUNTIF(HicRawData[#Headers],A31)</f>
        <v>1</v>
      </c>
      <c r="D31" s="48"/>
    </row>
    <row r="32" spans="1:4" x14ac:dyDescent="0.25">
      <c r="A32" t="s">
        <v>90</v>
      </c>
      <c r="B32">
        <f>COUNTIF(HicRawData[#Headers],A32)</f>
        <v>1</v>
      </c>
      <c r="D32" s="48"/>
    </row>
    <row r="33" spans="1:4" x14ac:dyDescent="0.25">
      <c r="A33" t="s">
        <v>89</v>
      </c>
      <c r="B33">
        <f>COUNTIF(HicRawData[#Headers],A33)</f>
        <v>1</v>
      </c>
      <c r="D33" s="48"/>
    </row>
    <row r="34" spans="1:4" x14ac:dyDescent="0.25">
      <c r="A34" t="s">
        <v>137</v>
      </c>
      <c r="B34">
        <f>COUNTIF(HicRawData[#Headers],A34)</f>
        <v>1</v>
      </c>
      <c r="D34" s="48"/>
    </row>
    <row r="35" spans="1:4" x14ac:dyDescent="0.25">
      <c r="A35" t="s">
        <v>88</v>
      </c>
      <c r="B35">
        <f>COUNTIF(HicRawData[#Headers],A35)</f>
        <v>1</v>
      </c>
      <c r="D35" s="48"/>
    </row>
    <row r="36" spans="1:4" x14ac:dyDescent="0.25">
      <c r="A36" t="s">
        <v>87</v>
      </c>
      <c r="B36">
        <f>COUNTIF(HicRawData[#Headers],A36)</f>
        <v>1</v>
      </c>
      <c r="D36" s="48"/>
    </row>
    <row r="37" spans="1:4" x14ac:dyDescent="0.25">
      <c r="A37" t="s">
        <v>86</v>
      </c>
      <c r="B37">
        <f>COUNTIF(HicRawData[#Headers],A37)</f>
        <v>1</v>
      </c>
      <c r="D37" s="48"/>
    </row>
    <row r="38" spans="1:4" x14ac:dyDescent="0.25">
      <c r="A38" t="s">
        <v>85</v>
      </c>
      <c r="B38">
        <f>COUNTIF(HicRawData[#Headers],A38)</f>
        <v>1</v>
      </c>
      <c r="D38" s="48"/>
    </row>
    <row r="39" spans="1:4" x14ac:dyDescent="0.25">
      <c r="A39" t="s">
        <v>122</v>
      </c>
      <c r="B39">
        <f>COUNTIF(HicRawData[#Headers],A39)</f>
        <v>1</v>
      </c>
      <c r="D39" s="48"/>
    </row>
    <row r="40" spans="1:4" x14ac:dyDescent="0.25">
      <c r="A40" t="s">
        <v>84</v>
      </c>
      <c r="B40">
        <f>COUNTIF(HicRawData[#Headers],A40)</f>
        <v>1</v>
      </c>
      <c r="D40" s="48"/>
    </row>
    <row r="41" spans="1:4" x14ac:dyDescent="0.25">
      <c r="A41" t="s">
        <v>83</v>
      </c>
      <c r="B41">
        <f>COUNTIF(HicRawData[#Headers],A41)</f>
        <v>1</v>
      </c>
      <c r="D41" s="48"/>
    </row>
    <row r="42" spans="1:4" x14ac:dyDescent="0.25">
      <c r="A42" t="s">
        <v>121</v>
      </c>
      <c r="B42">
        <f>COUNTIF(HicRawData[#Headers],A42)</f>
        <v>1</v>
      </c>
      <c r="D42" s="48"/>
    </row>
    <row r="43" spans="1:4" x14ac:dyDescent="0.25">
      <c r="A43" t="s">
        <v>82</v>
      </c>
      <c r="B43">
        <f>COUNTIF(HicRawData[#Headers],A43)</f>
        <v>1</v>
      </c>
      <c r="D43" s="48"/>
    </row>
    <row r="44" spans="1:4" x14ac:dyDescent="0.25">
      <c r="A44" t="s">
        <v>151</v>
      </c>
      <c r="B44">
        <f>COUNTIF(HicRawData[#Headers],A44)</f>
        <v>1</v>
      </c>
      <c r="D44" s="48"/>
    </row>
    <row r="45" spans="1:4" x14ac:dyDescent="0.25">
      <c r="A45" t="s">
        <v>152</v>
      </c>
      <c r="B45">
        <f>COUNTIF(HicRawData[#Headers],A45)</f>
        <v>1</v>
      </c>
      <c r="D45" s="48"/>
    </row>
    <row r="46" spans="1:4" x14ac:dyDescent="0.25">
      <c r="A46" t="s">
        <v>81</v>
      </c>
      <c r="B46">
        <f>COUNTIF(HicRawData[#Headers],A46)</f>
        <v>1</v>
      </c>
      <c r="D46" s="48"/>
    </row>
    <row r="47" spans="1:4" x14ac:dyDescent="0.25">
      <c r="A47" t="s">
        <v>80</v>
      </c>
      <c r="B47">
        <f>COUNTIF(HicRawData[#Headers],A47)</f>
        <v>1</v>
      </c>
      <c r="D47" s="48"/>
    </row>
    <row r="48" spans="1:4" x14ac:dyDescent="0.25">
      <c r="A48" t="s">
        <v>79</v>
      </c>
      <c r="B48">
        <f>COUNTIF(HicRawData[#Headers],A48)</f>
        <v>1</v>
      </c>
      <c r="D48" s="48"/>
    </row>
    <row r="49" spans="1:4" x14ac:dyDescent="0.25">
      <c r="A49" t="s">
        <v>120</v>
      </c>
      <c r="B49">
        <f>COUNTIF(HicRawData[#Headers],A49)</f>
        <v>1</v>
      </c>
      <c r="D49" s="48"/>
    </row>
    <row r="50" spans="1:4" x14ac:dyDescent="0.25">
      <c r="A50" t="s">
        <v>78</v>
      </c>
      <c r="B50">
        <f>COUNTIF(HicRawData[#Headers],A50)</f>
        <v>1</v>
      </c>
      <c r="D50" s="48"/>
    </row>
    <row r="51" spans="1:4" x14ac:dyDescent="0.25">
      <c r="A51" t="s">
        <v>77</v>
      </c>
      <c r="B51">
        <f>COUNTIF(HicRawData[#Headers],A51)</f>
        <v>1</v>
      </c>
      <c r="D51" s="48"/>
    </row>
    <row r="52" spans="1:4" x14ac:dyDescent="0.25">
      <c r="A52" t="s">
        <v>76</v>
      </c>
      <c r="B52">
        <f>COUNTIF(HicRawData[#Headers],A52)</f>
        <v>1</v>
      </c>
      <c r="D52" s="48"/>
    </row>
    <row r="53" spans="1:4" x14ac:dyDescent="0.25">
      <c r="A53" t="s">
        <v>75</v>
      </c>
      <c r="B53">
        <f>COUNTIF(HicRawData[#Headers],A53)</f>
        <v>1</v>
      </c>
      <c r="D53" s="48"/>
    </row>
    <row r="54" spans="1:4" x14ac:dyDescent="0.25">
      <c r="A54" t="s">
        <v>74</v>
      </c>
      <c r="B54">
        <f>COUNTIF(HicRawData[#Headers],A54)</f>
        <v>1</v>
      </c>
      <c r="D54" s="48"/>
    </row>
    <row r="55" spans="1:4" x14ac:dyDescent="0.25">
      <c r="A55" t="s">
        <v>73</v>
      </c>
      <c r="B55">
        <f>COUNTIF(HicRawData[#Headers],A55)</f>
        <v>1</v>
      </c>
      <c r="D55" s="48"/>
    </row>
    <row r="56" spans="1:4" x14ac:dyDescent="0.25">
      <c r="A56" t="s">
        <v>72</v>
      </c>
      <c r="B56">
        <f>COUNTIF(HicRawData[#Headers],A56)</f>
        <v>1</v>
      </c>
      <c r="D56" s="48"/>
    </row>
    <row r="57" spans="1:4" x14ac:dyDescent="0.25">
      <c r="A57" t="s">
        <v>71</v>
      </c>
      <c r="B57">
        <f>COUNTIF(HicRawData[#Headers],A57)</f>
        <v>1</v>
      </c>
      <c r="D57" s="48"/>
    </row>
    <row r="58" spans="1:4" x14ac:dyDescent="0.25">
      <c r="A58" t="s">
        <v>70</v>
      </c>
      <c r="B58">
        <f>COUNTIF(HicRawData[#Headers],A58)</f>
        <v>1</v>
      </c>
      <c r="D58" s="48"/>
    </row>
    <row r="59" spans="1:4" x14ac:dyDescent="0.25">
      <c r="A59" t="s">
        <v>69</v>
      </c>
      <c r="B59">
        <f>COUNTIF(HicRawData[#Headers],A59)</f>
        <v>1</v>
      </c>
      <c r="D59" s="48"/>
    </row>
    <row r="60" spans="1:4" x14ac:dyDescent="0.25">
      <c r="A60" t="s">
        <v>68</v>
      </c>
      <c r="B60">
        <f>COUNTIF(HicRawData[#Headers],A60)</f>
        <v>1</v>
      </c>
      <c r="D60" s="48"/>
    </row>
    <row r="61" spans="1:4" x14ac:dyDescent="0.25">
      <c r="A61" t="s">
        <v>119</v>
      </c>
      <c r="B61">
        <f>COUNTIF(HicRawData[#Headers],A61)</f>
        <v>1</v>
      </c>
      <c r="D61" s="48"/>
    </row>
    <row r="62" spans="1:4" x14ac:dyDescent="0.25">
      <c r="A62" t="s">
        <v>118</v>
      </c>
      <c r="B62">
        <f>COUNTIF(HicRawData[#Headers],A62)</f>
        <v>1</v>
      </c>
      <c r="D62" s="48"/>
    </row>
    <row r="63" spans="1:4" x14ac:dyDescent="0.25">
      <c r="A63" t="s">
        <v>67</v>
      </c>
      <c r="B63">
        <f>COUNTIF(HicRawData[#Headers],A63)</f>
        <v>1</v>
      </c>
      <c r="D63" s="48"/>
    </row>
    <row r="64" spans="1:4" x14ac:dyDescent="0.25">
      <c r="A64" t="s">
        <v>66</v>
      </c>
      <c r="B64">
        <f>COUNTIF(HicRawData[#Headers],A64)</f>
        <v>1</v>
      </c>
      <c r="D64" s="48"/>
    </row>
    <row r="65" spans="1:4" x14ac:dyDescent="0.25">
      <c r="A65" t="s">
        <v>65</v>
      </c>
      <c r="B65">
        <f>COUNTIF(HicRawData[#Headers],A65)</f>
        <v>1</v>
      </c>
      <c r="D65" s="48"/>
    </row>
    <row r="66" spans="1:4" x14ac:dyDescent="0.25">
      <c r="A66" t="s">
        <v>64</v>
      </c>
      <c r="B66">
        <f>COUNTIF(HicRawData[#Headers],A66)</f>
        <v>1</v>
      </c>
      <c r="D66" s="48"/>
    </row>
    <row r="67" spans="1:4" x14ac:dyDescent="0.25">
      <c r="A67" t="s">
        <v>63</v>
      </c>
      <c r="B67">
        <f>COUNTIF(HicRawData[#Headers],A67)</f>
        <v>1</v>
      </c>
      <c r="D67" s="48"/>
    </row>
    <row r="68" spans="1:4" x14ac:dyDescent="0.25">
      <c r="A68" t="s">
        <v>62</v>
      </c>
      <c r="B68">
        <f>COUNTIF(HicRawData[#Headers],A68)</f>
        <v>1</v>
      </c>
      <c r="D68" s="48"/>
    </row>
    <row r="69" spans="1:4" x14ac:dyDescent="0.25">
      <c r="A69" t="s">
        <v>61</v>
      </c>
      <c r="B69">
        <f>COUNTIF(HicRawData[#Headers],A69)</f>
        <v>1</v>
      </c>
      <c r="D69" s="48"/>
    </row>
    <row r="70" spans="1:4" x14ac:dyDescent="0.25">
      <c r="A70" t="s">
        <v>60</v>
      </c>
      <c r="B70">
        <f>COUNTIF(HicRawData[#Headers],A70)</f>
        <v>1</v>
      </c>
      <c r="D70" s="48"/>
    </row>
    <row r="71" spans="1:4" x14ac:dyDescent="0.25">
      <c r="A71" t="s">
        <v>59</v>
      </c>
      <c r="B71">
        <f>COUNTIF(HicRawData[#Headers],A71)</f>
        <v>1</v>
      </c>
      <c r="D71" s="48"/>
    </row>
    <row r="72" spans="1:4" x14ac:dyDescent="0.25">
      <c r="A72" t="s">
        <v>58</v>
      </c>
      <c r="B72">
        <f>COUNTIF(HicRawData[#Headers],A72)</f>
        <v>1</v>
      </c>
      <c r="D72" s="48"/>
    </row>
    <row r="73" spans="1:4" x14ac:dyDescent="0.25">
      <c r="A73" t="s">
        <v>57</v>
      </c>
      <c r="B73">
        <f>COUNTIF(HicRawData[#Headers],A73)</f>
        <v>1</v>
      </c>
      <c r="D73" s="48"/>
    </row>
    <row r="74" spans="1:4" x14ac:dyDescent="0.25">
      <c r="A74" t="s">
        <v>55</v>
      </c>
      <c r="B74">
        <f>COUNTIF(HicRawData[#Headers],A74)</f>
        <v>1</v>
      </c>
      <c r="D74" s="48"/>
    </row>
    <row r="75" spans="1:4" x14ac:dyDescent="0.25">
      <c r="A75" t="s">
        <v>56</v>
      </c>
      <c r="B75">
        <f>COUNTIF(HicRawData[#Headers],A75)</f>
        <v>1</v>
      </c>
      <c r="D75" s="48"/>
    </row>
    <row r="76" spans="1:4" x14ac:dyDescent="0.25">
      <c r="A76" t="s">
        <v>54</v>
      </c>
      <c r="B76">
        <f>COUNTIF(HicRawData[#Headers],A76)</f>
        <v>1</v>
      </c>
      <c r="D76" s="48"/>
    </row>
    <row r="77" spans="1:4" x14ac:dyDescent="0.25">
      <c r="A77" t="s">
        <v>53</v>
      </c>
      <c r="B77">
        <f>COUNTIF(HicRawData[#Headers],A77)</f>
        <v>1</v>
      </c>
      <c r="D77" s="48"/>
    </row>
    <row r="78" spans="1:4" x14ac:dyDescent="0.25">
      <c r="A78" t="s">
        <v>52</v>
      </c>
      <c r="B78">
        <f>COUNTIF(HicRawData[#Headers],A78)</f>
        <v>1</v>
      </c>
      <c r="D78" s="48"/>
    </row>
    <row r="79" spans="1:4" x14ac:dyDescent="0.25">
      <c r="A79" t="s">
        <v>51</v>
      </c>
      <c r="B79">
        <f>COUNTIF(HicRawData[#Headers],A79)</f>
        <v>1</v>
      </c>
      <c r="D79" s="48"/>
    </row>
    <row r="80" spans="1:4" x14ac:dyDescent="0.25">
      <c r="A80" t="s">
        <v>50</v>
      </c>
      <c r="B80">
        <f>COUNTIF(HicRawData[#Headers],A80)</f>
        <v>1</v>
      </c>
      <c r="D80" s="48"/>
    </row>
    <row r="81" spans="1:4" x14ac:dyDescent="0.25">
      <c r="A81" t="s">
        <v>49</v>
      </c>
      <c r="B81">
        <f>COUNTIF(HicRawData[#Headers],A81)</f>
        <v>1</v>
      </c>
      <c r="D81" s="48"/>
    </row>
    <row r="82" spans="1:4" x14ac:dyDescent="0.25">
      <c r="A82" t="s">
        <v>48</v>
      </c>
      <c r="B82">
        <f>COUNTIF(HicRawData[#Headers],A82)</f>
        <v>1</v>
      </c>
      <c r="D82" s="48"/>
    </row>
    <row r="83" spans="1:4" x14ac:dyDescent="0.25">
      <c r="A83" t="s">
        <v>45</v>
      </c>
      <c r="B83">
        <f>COUNTIF(HicRawData[#Headers],A83)</f>
        <v>1</v>
      </c>
      <c r="D83" s="48"/>
    </row>
    <row r="84" spans="1:4" x14ac:dyDescent="0.25">
      <c r="A84" t="s">
        <v>47</v>
      </c>
      <c r="B84">
        <f>COUNTIF(HicRawData[#Headers],A84)</f>
        <v>1</v>
      </c>
      <c r="D84" s="48"/>
    </row>
    <row r="85" spans="1:4" x14ac:dyDescent="0.25">
      <c r="A85" t="s">
        <v>46</v>
      </c>
      <c r="B85">
        <f>COUNTIF(HicRawData[#Headers],A85)</f>
        <v>1</v>
      </c>
      <c r="D85" s="48"/>
    </row>
    <row r="86" spans="1:4" x14ac:dyDescent="0.25">
      <c r="A86" t="s">
        <v>44</v>
      </c>
      <c r="B86">
        <f>COUNTIF(HicRawData[#Headers],A86)</f>
        <v>1</v>
      </c>
      <c r="D86" s="48"/>
    </row>
    <row r="87" spans="1:4" x14ac:dyDescent="0.25">
      <c r="A87" t="s">
        <v>43</v>
      </c>
      <c r="B87">
        <f>COUNTIF(HicRawData[#Headers],A87)</f>
        <v>1</v>
      </c>
      <c r="D87" s="48"/>
    </row>
    <row r="88" spans="1:4" x14ac:dyDescent="0.25">
      <c r="A88" t="s">
        <v>117</v>
      </c>
      <c r="B88">
        <f>COUNTIF(HicRawData[#Headers],A88)</f>
        <v>1</v>
      </c>
      <c r="D88" s="48"/>
    </row>
    <row r="89" spans="1:4" x14ac:dyDescent="0.25">
      <c r="A89" t="s">
        <v>14</v>
      </c>
      <c r="B89">
        <f>COUNTIF(HicRawData[#Headers],A89)</f>
        <v>1</v>
      </c>
      <c r="D89" s="48"/>
    </row>
    <row r="90" spans="1:4" x14ac:dyDescent="0.25">
      <c r="A90" t="s">
        <v>42</v>
      </c>
      <c r="B90">
        <f>COUNTIF(HicRawData[#Headers],A90)</f>
        <v>1</v>
      </c>
      <c r="D90" s="48"/>
    </row>
    <row r="91" spans="1:4" x14ac:dyDescent="0.25">
      <c r="A91" t="s">
        <v>41</v>
      </c>
      <c r="B91">
        <f>COUNTIF(HicRawData[#Headers],A91)</f>
        <v>1</v>
      </c>
      <c r="D91" s="48"/>
    </row>
    <row r="92" spans="1:4" x14ac:dyDescent="0.25">
      <c r="A92" t="s">
        <v>40</v>
      </c>
      <c r="B92">
        <f>COUNTIF(HicRawData[#Headers],A92)</f>
        <v>1</v>
      </c>
      <c r="D92" s="48"/>
    </row>
    <row r="93" spans="1:4" x14ac:dyDescent="0.25">
      <c r="A93" t="s">
        <v>39</v>
      </c>
      <c r="B93">
        <f>COUNTIF(HicRawData[#Headers],A93)</f>
        <v>1</v>
      </c>
      <c r="D93" s="48"/>
    </row>
    <row r="94" spans="1:4" x14ac:dyDescent="0.25">
      <c r="A94" t="s">
        <v>38</v>
      </c>
      <c r="B94">
        <f>COUNTIF(HicRawData[#Headers],A94)</f>
        <v>1</v>
      </c>
      <c r="D94" s="48"/>
    </row>
    <row r="95" spans="1:4" x14ac:dyDescent="0.25">
      <c r="A95" t="s">
        <v>37</v>
      </c>
      <c r="B95">
        <f>COUNTIF(HicRawData[#Headers],A95)</f>
        <v>1</v>
      </c>
      <c r="D95" s="48"/>
    </row>
    <row r="96" spans="1:4" x14ac:dyDescent="0.25">
      <c r="A96" t="s">
        <v>36</v>
      </c>
      <c r="B96">
        <f>COUNTIF(HicRawData[#Headers],A96)</f>
        <v>1</v>
      </c>
      <c r="D96" s="48"/>
    </row>
    <row r="97" spans="1:4" x14ac:dyDescent="0.25">
      <c r="A97" t="s">
        <v>35</v>
      </c>
      <c r="B97">
        <f>COUNTIF(HicRawData[#Headers],A97)</f>
        <v>1</v>
      </c>
      <c r="D97" s="48"/>
    </row>
    <row r="98" spans="1:4" x14ac:dyDescent="0.25">
      <c r="A98" t="s">
        <v>34</v>
      </c>
      <c r="B98">
        <f>COUNTIF(HicRawData[#Headers],A98)</f>
        <v>1</v>
      </c>
      <c r="D98" s="48"/>
    </row>
    <row r="99" spans="1:4" x14ac:dyDescent="0.25">
      <c r="A99" t="s">
        <v>33</v>
      </c>
      <c r="B99">
        <f>COUNTIF(HicRawData[#Headers],A99)</f>
        <v>1</v>
      </c>
      <c r="D99" s="48"/>
    </row>
    <row r="100" spans="1:4" x14ac:dyDescent="0.25">
      <c r="A100" t="s">
        <v>32</v>
      </c>
      <c r="B100">
        <f>COUNTIF(HicRawData[#Headers],A100)</f>
        <v>1</v>
      </c>
      <c r="D100" s="48"/>
    </row>
    <row r="101" spans="1:4" x14ac:dyDescent="0.25">
      <c r="A101" t="s">
        <v>31</v>
      </c>
      <c r="B101">
        <f>COUNTIF(HicRawData[#Headers],A101)</f>
        <v>1</v>
      </c>
      <c r="D101" s="48"/>
    </row>
    <row r="102" spans="1:4" x14ac:dyDescent="0.25">
      <c r="A102" t="s">
        <v>30</v>
      </c>
      <c r="B102">
        <f>COUNTIF(HicRawData[#Headers],A102)</f>
        <v>1</v>
      </c>
      <c r="D102" s="48"/>
    </row>
    <row r="103" spans="1:4" x14ac:dyDescent="0.25">
      <c r="A103" t="s">
        <v>29</v>
      </c>
      <c r="B103">
        <f>COUNTIF(HicRawData[#Headers],A103)</f>
        <v>1</v>
      </c>
      <c r="D103" s="48"/>
    </row>
    <row r="104" spans="1:4" x14ac:dyDescent="0.25">
      <c r="A104" t="s">
        <v>28</v>
      </c>
      <c r="B104">
        <f>COUNTIF(HicRawData[#Headers],A104)</f>
        <v>1</v>
      </c>
      <c r="D104" s="48"/>
    </row>
    <row r="105" spans="1:4" x14ac:dyDescent="0.25">
      <c r="A105" t="s">
        <v>27</v>
      </c>
      <c r="B105">
        <f>COUNTIF(HicRawData[#Headers],A105)</f>
        <v>1</v>
      </c>
      <c r="D105" s="48"/>
    </row>
    <row r="106" spans="1:4" x14ac:dyDescent="0.25">
      <c r="A106" t="s">
        <v>26</v>
      </c>
      <c r="B106">
        <f>COUNTIF(HicRawData[#Headers],A106)</f>
        <v>1</v>
      </c>
      <c r="D106" s="48"/>
    </row>
    <row r="107" spans="1:4" x14ac:dyDescent="0.25">
      <c r="A107" t="s">
        <v>25</v>
      </c>
      <c r="B107">
        <f>COUNTIF(HicRawData[#Headers],A107)</f>
        <v>1</v>
      </c>
      <c r="D107" s="48"/>
    </row>
    <row r="108" spans="1:4" x14ac:dyDescent="0.25">
      <c r="A108" t="s">
        <v>24</v>
      </c>
      <c r="B108">
        <f>COUNTIF(HicRawData[#Headers],A108)</f>
        <v>1</v>
      </c>
      <c r="D108" s="48"/>
    </row>
    <row r="109" spans="1:4" x14ac:dyDescent="0.25">
      <c r="A109" t="s">
        <v>23</v>
      </c>
      <c r="B109">
        <f>COUNTIF(HicRawData[#Headers],A109)</f>
        <v>1</v>
      </c>
      <c r="D109" s="48"/>
    </row>
    <row r="110" spans="1:4" x14ac:dyDescent="0.25">
      <c r="A110" t="s">
        <v>22</v>
      </c>
      <c r="B110">
        <f>COUNTIF(HicRawData[#Headers],A110)</f>
        <v>1</v>
      </c>
      <c r="D110" s="48"/>
    </row>
    <row r="111" spans="1:4" x14ac:dyDescent="0.25">
      <c r="A111" t="s">
        <v>116</v>
      </c>
      <c r="B111">
        <f>COUNTIF(HicRawData[#Headers],A111)</f>
        <v>1</v>
      </c>
      <c r="D111" s="48"/>
    </row>
    <row r="112" spans="1:4" x14ac:dyDescent="0.25">
      <c r="A112" t="s">
        <v>21</v>
      </c>
      <c r="B112">
        <f>COUNTIF(HicRawData[#Headers],A112)</f>
        <v>1</v>
      </c>
      <c r="D112" s="48"/>
    </row>
    <row r="113" spans="1:4" x14ac:dyDescent="0.25">
      <c r="A113" t="s">
        <v>20</v>
      </c>
      <c r="B113">
        <f>COUNTIF(HicRawData[#Headers],A113)</f>
        <v>1</v>
      </c>
      <c r="D113" s="48"/>
    </row>
    <row r="114" spans="1:4" x14ac:dyDescent="0.25">
      <c r="A114" t="s">
        <v>19</v>
      </c>
      <c r="B114">
        <f>COUNTIF(HicRawData[#Headers],A114)</f>
        <v>1</v>
      </c>
      <c r="D114" s="48"/>
    </row>
    <row r="115" spans="1:4" x14ac:dyDescent="0.25">
      <c r="A115" t="s">
        <v>18</v>
      </c>
      <c r="B115">
        <f>COUNTIF(HicRawData[#Headers],A115)</f>
        <v>1</v>
      </c>
      <c r="D115" s="48"/>
    </row>
    <row r="116" spans="1:4" x14ac:dyDescent="0.25">
      <c r="A116" t="s">
        <v>17</v>
      </c>
      <c r="B116">
        <f>COUNTIF(HicRawData[#Headers],A116)</f>
        <v>1</v>
      </c>
      <c r="D116" s="48"/>
    </row>
    <row r="117" spans="1:4" x14ac:dyDescent="0.25">
      <c r="A117" t="s">
        <v>16</v>
      </c>
      <c r="B117">
        <f>COUNTIF(HicRawData[#Headers],A117)</f>
        <v>1</v>
      </c>
      <c r="D117" s="48"/>
    </row>
    <row r="118" spans="1:4" x14ac:dyDescent="0.25">
      <c r="A118" t="s">
        <v>15</v>
      </c>
      <c r="B118">
        <f>COUNTIF(HicRawData[#Headers],A118)</f>
        <v>1</v>
      </c>
      <c r="D118" s="48"/>
    </row>
  </sheetData>
  <sheetProtection algorithmName="SHA-512" hashValue="lSBcB7DypqlO9HC8xm2E8ZsPlEtF05ADZ74OqSFUpXJSGDsKbnC54EISXulzzDoilEWye3s3jqG8Ehc0D4EYng==" saltValue="Jlw8JVV3hxwe5uaHOd9HzA==" spinCount="100000" sheet="1" objects="1" scenarios="1"/>
  <conditionalFormatting sqref="B7">
    <cfRule type="cellIs" dxfId="105" priority="9" operator="equal">
      <formula>FALSE</formula>
    </cfRule>
    <cfRule type="cellIs" dxfId="104" priority="10" operator="equal">
      <formula>TRUE</formula>
    </cfRule>
  </conditionalFormatting>
  <conditionalFormatting sqref="B15">
    <cfRule type="cellIs" dxfId="103" priority="7" operator="equal">
      <formula>FALSE</formula>
    </cfRule>
    <cfRule type="cellIs" dxfId="102" priority="8" operator="equal">
      <formula>TRUE</formula>
    </cfRule>
  </conditionalFormatting>
  <conditionalFormatting sqref="B17">
    <cfRule type="cellIs" dxfId="101" priority="5" operator="equal">
      <formula>FALSE</formula>
    </cfRule>
    <cfRule type="cellIs" dxfId="100" priority="6" operator="equal">
      <formula>TRUE</formula>
    </cfRule>
  </conditionalFormatting>
  <conditionalFormatting sqref="B19">
    <cfRule type="cellIs" dxfId="99" priority="3" operator="equal">
      <formula>FALSE</formula>
    </cfRule>
    <cfRule type="cellIs" dxfId="98" priority="4" operator="equal">
      <formula>TRUE</formula>
    </cfRule>
  </conditionalFormatting>
  <conditionalFormatting sqref="B21">
    <cfRule type="cellIs" dxfId="97" priority="1" operator="equal">
      <formula>FALSE</formula>
    </cfRule>
    <cfRule type="cellIs" dxfId="96" priority="2" operator="equal">
      <formula>TRUE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78397-0D77-4B07-B36F-C4BAA593BC0D}">
  <sheetPr codeName="Sheet15">
    <tabColor rgb="FF003366"/>
  </sheetPr>
  <dimension ref="A1:CP33"/>
  <sheetViews>
    <sheetView zoomScaleNormal="100" workbookViewId="0"/>
  </sheetViews>
  <sheetFormatPr defaultColWidth="9.140625" defaultRowHeight="15" x14ac:dyDescent="0.25"/>
  <cols>
    <col min="1" max="1" width="8.5703125" style="50" bestFit="1" customWidth="1"/>
    <col min="2" max="2" width="11.5703125" style="50" bestFit="1" customWidth="1"/>
    <col min="3" max="3" width="24.85546875" style="50" bestFit="1" customWidth="1"/>
    <col min="4" max="4" width="11.28515625" style="50" bestFit="1" customWidth="1"/>
    <col min="5" max="5" width="10.28515625" style="50" bestFit="1" customWidth="1"/>
    <col min="6" max="6" width="7.28515625" style="50" bestFit="1" customWidth="1"/>
    <col min="7" max="7" width="81.28515625" style="50" bestFit="1" customWidth="1"/>
    <col min="8" max="8" width="11.5703125" style="50" bestFit="1" customWidth="1"/>
    <col min="9" max="9" width="53.42578125" style="50" bestFit="1" customWidth="1"/>
    <col min="10" max="10" width="11.5703125" style="50" bestFit="1" customWidth="1"/>
    <col min="11" max="11" width="12.140625" style="50" bestFit="1" customWidth="1"/>
    <col min="12" max="12" width="11.42578125" style="50" bestFit="1" customWidth="1"/>
    <col min="13" max="13" width="9.7109375" style="50" bestFit="1" customWidth="1"/>
    <col min="14" max="15" width="11.42578125" style="50" bestFit="1" customWidth="1"/>
    <col min="16" max="16" width="12.42578125" style="50" bestFit="1" customWidth="1"/>
    <col min="17" max="17" width="11.85546875" style="50" bestFit="1" customWidth="1"/>
    <col min="18" max="18" width="12.28515625" style="50" bestFit="1" customWidth="1"/>
    <col min="19" max="19" width="11.85546875" style="50" bestFit="1" customWidth="1"/>
    <col min="20" max="20" width="12.28515625" style="50" bestFit="1" customWidth="1"/>
    <col min="21" max="31" width="12.140625" style="50" bestFit="1" customWidth="1"/>
    <col min="32" max="32" width="12.28515625" style="50" bestFit="1" customWidth="1"/>
    <col min="33" max="38" width="12.140625" style="50" bestFit="1" customWidth="1"/>
    <col min="39" max="39" width="12.5703125" style="50" bestFit="1" customWidth="1"/>
    <col min="40" max="40" width="12.140625" style="50" bestFit="1" customWidth="1"/>
    <col min="41" max="46" width="12" style="50" bestFit="1" customWidth="1"/>
    <col min="47" max="49" width="11.85546875" style="50" bestFit="1" customWidth="1"/>
    <col min="50" max="50" width="12" style="50" bestFit="1" customWidth="1"/>
    <col min="51" max="52" width="11.85546875" style="50" bestFit="1" customWidth="1"/>
    <col min="53" max="57" width="12" style="50" bestFit="1" customWidth="1"/>
    <col min="58" max="59" width="11.85546875" style="50" bestFit="1" customWidth="1"/>
    <col min="60" max="61" width="12.5703125" style="50" bestFit="1" customWidth="1"/>
    <col min="62" max="62" width="11.85546875" style="50" bestFit="1" customWidth="1"/>
    <col min="63" max="63" width="120.85546875" style="50" bestFit="1" customWidth="1"/>
    <col min="64" max="64" width="10.7109375" style="50" bestFit="1" customWidth="1"/>
    <col min="65" max="65" width="10.85546875" style="50" bestFit="1" customWidth="1"/>
    <col min="66" max="66" width="31.5703125" style="50" bestFit="1" customWidth="1"/>
    <col min="67" max="67" width="21.85546875" style="50" bestFit="1" customWidth="1"/>
    <col min="68" max="68" width="12" style="50" bestFit="1" customWidth="1"/>
    <col min="69" max="69" width="7.85546875" style="50" bestFit="1" customWidth="1"/>
    <col min="70" max="70" width="6" style="50" bestFit="1" customWidth="1"/>
    <col min="71" max="71" width="11.140625" style="50" bestFit="1" customWidth="1"/>
    <col min="72" max="72" width="11.28515625" style="50" bestFit="1" customWidth="1"/>
    <col min="73" max="80" width="11.140625" style="50" bestFit="1" customWidth="1"/>
    <col min="81" max="81" width="12.28515625" style="50" bestFit="1" customWidth="1"/>
    <col min="82" max="82" width="9.140625" style="50" bestFit="1" customWidth="1"/>
    <col min="83" max="83" width="11.42578125" style="50" bestFit="1" customWidth="1"/>
    <col min="84" max="85" width="12.140625" style="50" bestFit="1" customWidth="1"/>
    <col min="86" max="86" width="11.42578125" style="50" bestFit="1" customWidth="1"/>
    <col min="87" max="87" width="11.7109375" style="50" bestFit="1" customWidth="1"/>
    <col min="88" max="88" width="12.5703125" style="50" bestFit="1" customWidth="1"/>
    <col min="89" max="89" width="10.85546875" style="50" bestFit="1" customWidth="1"/>
    <col min="90" max="90" width="255.7109375" style="50" bestFit="1" customWidth="1"/>
    <col min="91" max="91" width="12.28515625" style="50" bestFit="1" customWidth="1"/>
    <col min="92" max="93" width="12.5703125" style="50" bestFit="1" customWidth="1"/>
    <col min="94" max="94" width="12.140625" style="50" bestFit="1" customWidth="1"/>
    <col min="95" max="16384" width="9.140625" style="50"/>
  </cols>
  <sheetData>
    <row r="1" spans="1:94" ht="60" x14ac:dyDescent="0.25">
      <c r="A1" s="49" t="s">
        <v>95</v>
      </c>
      <c r="B1" s="49" t="s">
        <v>94</v>
      </c>
      <c r="C1" s="49" t="s">
        <v>13</v>
      </c>
      <c r="D1" s="49" t="s">
        <v>93</v>
      </c>
      <c r="E1" s="49" t="s">
        <v>92</v>
      </c>
      <c r="F1" s="49" t="s">
        <v>123</v>
      </c>
      <c r="G1" s="49" t="s">
        <v>91</v>
      </c>
      <c r="H1" s="49" t="s">
        <v>90</v>
      </c>
      <c r="I1" s="49" t="s">
        <v>89</v>
      </c>
      <c r="J1" s="49" t="s">
        <v>137</v>
      </c>
      <c r="K1" s="49" t="s">
        <v>88</v>
      </c>
      <c r="L1" s="49" t="s">
        <v>87</v>
      </c>
      <c r="M1" s="49" t="s">
        <v>86</v>
      </c>
      <c r="N1" s="49" t="s">
        <v>85</v>
      </c>
      <c r="O1" s="49" t="s">
        <v>122</v>
      </c>
      <c r="P1" s="49" t="s">
        <v>84</v>
      </c>
      <c r="Q1" s="49" t="s">
        <v>83</v>
      </c>
      <c r="R1" s="49" t="s">
        <v>121</v>
      </c>
      <c r="S1" s="49" t="s">
        <v>82</v>
      </c>
      <c r="T1" s="49" t="s">
        <v>151</v>
      </c>
      <c r="U1" s="49" t="s">
        <v>152</v>
      </c>
      <c r="V1" s="49" t="s">
        <v>81</v>
      </c>
      <c r="W1" s="49" t="s">
        <v>80</v>
      </c>
      <c r="X1" s="49" t="s">
        <v>79</v>
      </c>
      <c r="Y1" s="49" t="s">
        <v>120</v>
      </c>
      <c r="Z1" s="49" t="s">
        <v>78</v>
      </c>
      <c r="AA1" s="49" t="s">
        <v>77</v>
      </c>
      <c r="AB1" s="49" t="s">
        <v>76</v>
      </c>
      <c r="AC1" s="49" t="s">
        <v>75</v>
      </c>
      <c r="AD1" s="49" t="s">
        <v>74</v>
      </c>
      <c r="AE1" s="49" t="s">
        <v>73</v>
      </c>
      <c r="AF1" s="49" t="s">
        <v>72</v>
      </c>
      <c r="AG1" s="49" t="s">
        <v>71</v>
      </c>
      <c r="AH1" s="49" t="s">
        <v>70</v>
      </c>
      <c r="AI1" s="49" t="s">
        <v>69</v>
      </c>
      <c r="AJ1" s="49" t="s">
        <v>68</v>
      </c>
      <c r="AK1" s="49" t="s">
        <v>119</v>
      </c>
      <c r="AL1" s="49" t="s">
        <v>118</v>
      </c>
      <c r="AM1" s="49" t="s">
        <v>67</v>
      </c>
      <c r="AN1" s="49" t="s">
        <v>66</v>
      </c>
      <c r="AO1" s="49" t="s">
        <v>65</v>
      </c>
      <c r="AP1" s="49" t="s">
        <v>64</v>
      </c>
      <c r="AQ1" s="49" t="s">
        <v>63</v>
      </c>
      <c r="AR1" s="49" t="s">
        <v>62</v>
      </c>
      <c r="AS1" s="49" t="s">
        <v>61</v>
      </c>
      <c r="AT1" s="49" t="s">
        <v>60</v>
      </c>
      <c r="AU1" s="49" t="s">
        <v>59</v>
      </c>
      <c r="AV1" s="49" t="s">
        <v>58</v>
      </c>
      <c r="AW1" s="49" t="s">
        <v>57</v>
      </c>
      <c r="AX1" s="49" t="s">
        <v>55</v>
      </c>
      <c r="AY1" s="49" t="s">
        <v>56</v>
      </c>
      <c r="AZ1" s="49" t="s">
        <v>54</v>
      </c>
      <c r="BA1" s="49" t="s">
        <v>53</v>
      </c>
      <c r="BB1" s="49" t="s">
        <v>52</v>
      </c>
      <c r="BC1" s="49" t="s">
        <v>51</v>
      </c>
      <c r="BD1" s="49" t="s">
        <v>50</v>
      </c>
      <c r="BE1" s="49" t="s">
        <v>49</v>
      </c>
      <c r="BF1" s="49" t="s">
        <v>48</v>
      </c>
      <c r="BG1" s="49" t="s">
        <v>45</v>
      </c>
      <c r="BH1" s="49" t="s">
        <v>47</v>
      </c>
      <c r="BI1" s="49" t="s">
        <v>46</v>
      </c>
      <c r="BJ1" s="49" t="s">
        <v>44</v>
      </c>
      <c r="BK1" s="49" t="s">
        <v>43</v>
      </c>
      <c r="BL1" s="49" t="s">
        <v>117</v>
      </c>
      <c r="BM1" s="49" t="s">
        <v>14</v>
      </c>
      <c r="BN1" s="49" t="s">
        <v>42</v>
      </c>
      <c r="BO1" s="49" t="s">
        <v>41</v>
      </c>
      <c r="BP1" s="49" t="s">
        <v>40</v>
      </c>
      <c r="BQ1" s="49" t="s">
        <v>39</v>
      </c>
      <c r="BR1" s="49" t="s">
        <v>38</v>
      </c>
      <c r="BS1" s="49" t="s">
        <v>37</v>
      </c>
      <c r="BT1" s="49" t="s">
        <v>36</v>
      </c>
      <c r="BU1" s="49" t="s">
        <v>35</v>
      </c>
      <c r="BV1" s="49" t="s">
        <v>34</v>
      </c>
      <c r="BW1" s="49" t="s">
        <v>33</v>
      </c>
      <c r="BX1" s="49" t="s">
        <v>32</v>
      </c>
      <c r="BY1" s="49" t="s">
        <v>31</v>
      </c>
      <c r="BZ1" s="49" t="s">
        <v>30</v>
      </c>
      <c r="CA1" s="49" t="s">
        <v>29</v>
      </c>
      <c r="CB1" s="49" t="s">
        <v>28</v>
      </c>
      <c r="CC1" s="49" t="s">
        <v>27</v>
      </c>
      <c r="CD1" s="49" t="s">
        <v>26</v>
      </c>
      <c r="CE1" s="49" t="s">
        <v>25</v>
      </c>
      <c r="CF1" s="49" t="s">
        <v>24</v>
      </c>
      <c r="CG1" s="49" t="s">
        <v>23</v>
      </c>
      <c r="CH1" s="49" t="s">
        <v>22</v>
      </c>
      <c r="CI1" s="49" t="s">
        <v>116</v>
      </c>
      <c r="CJ1" s="49" t="s">
        <v>21</v>
      </c>
      <c r="CK1" s="49" t="s">
        <v>20</v>
      </c>
      <c r="CL1" s="49" t="s">
        <v>19</v>
      </c>
      <c r="CM1" s="49" t="s">
        <v>18</v>
      </c>
      <c r="CN1" s="49" t="s">
        <v>17</v>
      </c>
      <c r="CO1" s="49" t="s">
        <v>16</v>
      </c>
      <c r="CP1" s="49" t="s">
        <v>15</v>
      </c>
    </row>
    <row r="2" spans="1:94" x14ac:dyDescent="0.25">
      <c r="A2" s="51">
        <v>1</v>
      </c>
      <c r="B2" s="51" t="s">
        <v>154</v>
      </c>
      <c r="C2" s="51" t="s">
        <v>155</v>
      </c>
      <c r="D2" s="51" t="s">
        <v>156</v>
      </c>
      <c r="E2" s="51" t="s">
        <v>157</v>
      </c>
      <c r="F2" s="51">
        <v>2024</v>
      </c>
      <c r="G2" s="51" t="s">
        <v>158</v>
      </c>
      <c r="H2" s="51">
        <v>49</v>
      </c>
      <c r="I2" s="51" t="s">
        <v>159</v>
      </c>
      <c r="J2" s="51"/>
      <c r="K2" s="51">
        <v>2</v>
      </c>
      <c r="L2" s="52">
        <v>45315</v>
      </c>
      <c r="M2" s="51" t="s">
        <v>3</v>
      </c>
      <c r="N2" s="51" t="s">
        <v>160</v>
      </c>
      <c r="O2" s="51" t="s">
        <v>161</v>
      </c>
      <c r="P2" s="51" t="s">
        <v>9</v>
      </c>
      <c r="Q2" s="51" t="s">
        <v>1</v>
      </c>
      <c r="R2" s="52">
        <v>45200</v>
      </c>
      <c r="S2" s="51" t="s">
        <v>0</v>
      </c>
      <c r="T2" s="52">
        <v>38169</v>
      </c>
      <c r="U2" s="51"/>
      <c r="V2" s="51">
        <v>1</v>
      </c>
      <c r="W2" s="51">
        <v>0</v>
      </c>
      <c r="X2" s="51">
        <v>0</v>
      </c>
      <c r="Y2" s="51">
        <v>0</v>
      </c>
      <c r="Z2" s="51">
        <v>0</v>
      </c>
      <c r="AA2" s="51">
        <v>0</v>
      </c>
      <c r="AB2" s="51">
        <v>0</v>
      </c>
      <c r="AC2" s="51">
        <v>0</v>
      </c>
      <c r="AD2" s="51">
        <v>0</v>
      </c>
      <c r="AE2" s="51">
        <v>0</v>
      </c>
      <c r="AF2" s="51">
        <v>0</v>
      </c>
      <c r="AG2" s="51">
        <v>0</v>
      </c>
      <c r="AH2" s="51">
        <v>0</v>
      </c>
      <c r="AI2" s="51">
        <v>0</v>
      </c>
      <c r="AJ2" s="51">
        <v>0</v>
      </c>
      <c r="AK2" s="51">
        <v>0</v>
      </c>
      <c r="AL2" s="51">
        <v>0</v>
      </c>
      <c r="AM2" s="51">
        <v>0</v>
      </c>
      <c r="AN2" s="51">
        <v>0</v>
      </c>
      <c r="AO2" s="51">
        <v>0</v>
      </c>
      <c r="AP2" s="51">
        <v>0</v>
      </c>
      <c r="AQ2" s="51">
        <v>0</v>
      </c>
      <c r="AR2" s="51">
        <v>0</v>
      </c>
      <c r="AS2" s="51">
        <v>0</v>
      </c>
      <c r="AT2" s="51">
        <v>0</v>
      </c>
      <c r="AU2" s="51">
        <v>0</v>
      </c>
      <c r="AV2" s="51">
        <v>0</v>
      </c>
      <c r="AW2" s="51">
        <v>0</v>
      </c>
      <c r="AX2" s="51">
        <v>0</v>
      </c>
      <c r="AY2" s="51">
        <v>0</v>
      </c>
      <c r="AZ2" s="51">
        <v>0</v>
      </c>
      <c r="BA2" s="51">
        <v>0</v>
      </c>
      <c r="BB2" s="51">
        <v>0</v>
      </c>
      <c r="BC2" s="51">
        <v>0</v>
      </c>
      <c r="BD2" s="51">
        <v>0</v>
      </c>
      <c r="BE2" s="51">
        <v>0</v>
      </c>
      <c r="BF2" s="51">
        <v>0</v>
      </c>
      <c r="BG2" s="51">
        <v>0</v>
      </c>
      <c r="BH2" s="51">
        <v>0</v>
      </c>
      <c r="BI2" s="51">
        <v>0</v>
      </c>
      <c r="BJ2" s="51">
        <v>1</v>
      </c>
      <c r="BK2" s="51" t="s">
        <v>162</v>
      </c>
      <c r="BL2" s="51" t="s">
        <v>163</v>
      </c>
      <c r="BM2" s="51">
        <v>0</v>
      </c>
      <c r="BN2" s="51" t="s">
        <v>164</v>
      </c>
      <c r="BO2" s="51"/>
      <c r="BP2" s="51" t="s">
        <v>165</v>
      </c>
      <c r="BQ2" s="51" t="s">
        <v>154</v>
      </c>
      <c r="BR2" s="51">
        <v>20110</v>
      </c>
      <c r="BS2" s="51">
        <v>76</v>
      </c>
      <c r="BT2" s="51">
        <v>14</v>
      </c>
      <c r="BU2" s="51">
        <v>0</v>
      </c>
      <c r="BV2" s="51">
        <v>0</v>
      </c>
      <c r="BW2" s="51">
        <v>0</v>
      </c>
      <c r="BX2" s="51">
        <v>12</v>
      </c>
      <c r="BY2" s="51">
        <v>0</v>
      </c>
      <c r="BZ2" s="51">
        <v>0</v>
      </c>
      <c r="CA2" s="51">
        <v>0</v>
      </c>
      <c r="CB2" s="51">
        <v>0</v>
      </c>
      <c r="CC2" s="51">
        <v>0</v>
      </c>
      <c r="CD2" s="51">
        <v>88</v>
      </c>
      <c r="CE2" s="51">
        <v>0</v>
      </c>
      <c r="CF2" s="51"/>
      <c r="CG2" s="51"/>
      <c r="CH2" s="51">
        <v>0</v>
      </c>
      <c r="CI2" s="51">
        <v>67</v>
      </c>
      <c r="CJ2" s="51">
        <v>88</v>
      </c>
      <c r="CK2" s="52">
        <v>45422</v>
      </c>
      <c r="CL2" s="51" t="s">
        <v>166</v>
      </c>
      <c r="CM2" s="51"/>
      <c r="CN2" s="51" t="s">
        <v>12</v>
      </c>
      <c r="CO2" s="51"/>
      <c r="CP2" s="51">
        <v>2</v>
      </c>
    </row>
    <row r="3" spans="1:94" x14ac:dyDescent="0.25">
      <c r="A3" s="51">
        <v>2</v>
      </c>
      <c r="B3" s="51" t="s">
        <v>154</v>
      </c>
      <c r="C3" s="51" t="s">
        <v>155</v>
      </c>
      <c r="D3" s="51" t="s">
        <v>156</v>
      </c>
      <c r="E3" s="51" t="s">
        <v>157</v>
      </c>
      <c r="F3" s="51">
        <v>2024</v>
      </c>
      <c r="G3" s="51" t="s">
        <v>167</v>
      </c>
      <c r="H3" s="51">
        <v>7</v>
      </c>
      <c r="I3" s="51" t="s">
        <v>168</v>
      </c>
      <c r="J3" s="51"/>
      <c r="K3" s="51">
        <v>4</v>
      </c>
      <c r="L3" s="52">
        <v>45315</v>
      </c>
      <c r="M3" s="51" t="s">
        <v>3</v>
      </c>
      <c r="N3" s="51" t="s">
        <v>160</v>
      </c>
      <c r="O3" s="51" t="s">
        <v>161</v>
      </c>
      <c r="P3" s="51" t="s">
        <v>9</v>
      </c>
      <c r="Q3" s="51" t="s">
        <v>1</v>
      </c>
      <c r="R3" s="52">
        <v>44671</v>
      </c>
      <c r="S3" s="51" t="s">
        <v>0</v>
      </c>
      <c r="T3" s="52">
        <v>38169</v>
      </c>
      <c r="U3" s="51"/>
      <c r="V3" s="51">
        <v>1</v>
      </c>
      <c r="W3" s="51">
        <v>0</v>
      </c>
      <c r="X3" s="51">
        <v>0</v>
      </c>
      <c r="Y3" s="51">
        <v>0</v>
      </c>
      <c r="Z3" s="51">
        <v>0</v>
      </c>
      <c r="AA3" s="51">
        <v>0</v>
      </c>
      <c r="AB3" s="51">
        <v>0</v>
      </c>
      <c r="AC3" s="51">
        <v>0</v>
      </c>
      <c r="AD3" s="51">
        <v>0</v>
      </c>
      <c r="AE3" s="51">
        <v>0</v>
      </c>
      <c r="AF3" s="51">
        <v>0</v>
      </c>
      <c r="AG3" s="51">
        <v>0</v>
      </c>
      <c r="AH3" s="51">
        <v>0</v>
      </c>
      <c r="AI3" s="51">
        <v>0</v>
      </c>
      <c r="AJ3" s="51">
        <v>0</v>
      </c>
      <c r="AK3" s="51">
        <v>0</v>
      </c>
      <c r="AL3" s="51">
        <v>0</v>
      </c>
      <c r="AM3" s="51">
        <v>0</v>
      </c>
      <c r="AN3" s="51">
        <v>0</v>
      </c>
      <c r="AO3" s="51">
        <v>0</v>
      </c>
      <c r="AP3" s="51">
        <v>0</v>
      </c>
      <c r="AQ3" s="51">
        <v>0</v>
      </c>
      <c r="AR3" s="51">
        <v>0</v>
      </c>
      <c r="AS3" s="51">
        <v>0</v>
      </c>
      <c r="AT3" s="51">
        <v>0</v>
      </c>
      <c r="AU3" s="51">
        <v>0</v>
      </c>
      <c r="AV3" s="51">
        <v>0</v>
      </c>
      <c r="AW3" s="51">
        <v>0</v>
      </c>
      <c r="AX3" s="51">
        <v>0</v>
      </c>
      <c r="AY3" s="51">
        <v>0</v>
      </c>
      <c r="AZ3" s="51">
        <v>0</v>
      </c>
      <c r="BA3" s="51">
        <v>0</v>
      </c>
      <c r="BB3" s="51">
        <v>0</v>
      </c>
      <c r="BC3" s="51">
        <v>0</v>
      </c>
      <c r="BD3" s="51">
        <v>0</v>
      </c>
      <c r="BE3" s="51">
        <v>0</v>
      </c>
      <c r="BF3" s="51">
        <v>0</v>
      </c>
      <c r="BG3" s="51">
        <v>0</v>
      </c>
      <c r="BH3" s="51">
        <v>0</v>
      </c>
      <c r="BI3" s="51">
        <v>0</v>
      </c>
      <c r="BJ3" s="51">
        <v>0</v>
      </c>
      <c r="BK3" s="51"/>
      <c r="BL3" s="51" t="s">
        <v>163</v>
      </c>
      <c r="BM3" s="51">
        <v>0</v>
      </c>
      <c r="BN3" s="51" t="s">
        <v>169</v>
      </c>
      <c r="BO3" s="51"/>
      <c r="BP3" s="51" t="s">
        <v>170</v>
      </c>
      <c r="BQ3" s="51" t="s">
        <v>154</v>
      </c>
      <c r="BR3" s="51">
        <v>22191</v>
      </c>
      <c r="BS3" s="51">
        <v>30</v>
      </c>
      <c r="BT3" s="51">
        <v>9</v>
      </c>
      <c r="BU3" s="51">
        <v>0</v>
      </c>
      <c r="BV3" s="51">
        <v>0</v>
      </c>
      <c r="BW3" s="51">
        <v>0</v>
      </c>
      <c r="BX3" s="51">
        <v>0</v>
      </c>
      <c r="BY3" s="51">
        <v>0</v>
      </c>
      <c r="BZ3" s="51">
        <v>0</v>
      </c>
      <c r="CA3" s="51">
        <v>0</v>
      </c>
      <c r="CB3" s="51">
        <v>0</v>
      </c>
      <c r="CC3" s="51">
        <v>0</v>
      </c>
      <c r="CD3" s="51">
        <v>30</v>
      </c>
      <c r="CE3" s="51">
        <v>0</v>
      </c>
      <c r="CF3" s="51"/>
      <c r="CG3" s="51"/>
      <c r="CH3" s="51">
        <v>0</v>
      </c>
      <c r="CI3" s="51">
        <v>26</v>
      </c>
      <c r="CJ3" s="51">
        <v>30</v>
      </c>
      <c r="CK3" s="52">
        <v>45422</v>
      </c>
      <c r="CL3" s="51"/>
      <c r="CM3" s="51"/>
      <c r="CN3" s="51" t="s">
        <v>12</v>
      </c>
      <c r="CO3" s="51"/>
      <c r="CP3" s="51">
        <v>2</v>
      </c>
    </row>
    <row r="4" spans="1:94" x14ac:dyDescent="0.25">
      <c r="A4" s="51">
        <v>3</v>
      </c>
      <c r="B4" s="51" t="s">
        <v>154</v>
      </c>
      <c r="C4" s="51" t="s">
        <v>155</v>
      </c>
      <c r="D4" s="51" t="s">
        <v>156</v>
      </c>
      <c r="E4" s="51" t="s">
        <v>157</v>
      </c>
      <c r="F4" s="51">
        <v>2024</v>
      </c>
      <c r="G4" s="51" t="s">
        <v>171</v>
      </c>
      <c r="H4" s="51">
        <v>8</v>
      </c>
      <c r="I4" s="51" t="s">
        <v>172</v>
      </c>
      <c r="J4" s="51"/>
      <c r="K4" s="51">
        <v>16</v>
      </c>
      <c r="L4" s="52">
        <v>45315</v>
      </c>
      <c r="M4" s="51" t="s">
        <v>2</v>
      </c>
      <c r="N4" s="51"/>
      <c r="O4" s="51" t="s">
        <v>161</v>
      </c>
      <c r="P4" s="51" t="s">
        <v>9</v>
      </c>
      <c r="Q4" s="51" t="s">
        <v>1</v>
      </c>
      <c r="R4" s="52">
        <v>44013</v>
      </c>
      <c r="S4" s="51" t="s">
        <v>0</v>
      </c>
      <c r="T4" s="52">
        <v>34516</v>
      </c>
      <c r="U4" s="51"/>
      <c r="V4" s="51">
        <v>1</v>
      </c>
      <c r="W4" s="51">
        <v>0</v>
      </c>
      <c r="X4" s="51">
        <v>0</v>
      </c>
      <c r="Y4" s="51">
        <v>0</v>
      </c>
      <c r="Z4" s="51">
        <v>0</v>
      </c>
      <c r="AA4" s="51">
        <v>0</v>
      </c>
      <c r="AB4" s="51">
        <v>0</v>
      </c>
      <c r="AC4" s="51">
        <v>0</v>
      </c>
      <c r="AD4" s="51">
        <v>0</v>
      </c>
      <c r="AE4" s="51">
        <v>0</v>
      </c>
      <c r="AF4" s="51">
        <v>0</v>
      </c>
      <c r="AG4" s="51">
        <v>0</v>
      </c>
      <c r="AH4" s="51">
        <v>0</v>
      </c>
      <c r="AI4" s="51">
        <v>0</v>
      </c>
      <c r="AJ4" s="51">
        <v>0</v>
      </c>
      <c r="AK4" s="51">
        <v>0</v>
      </c>
      <c r="AL4" s="51">
        <v>0</v>
      </c>
      <c r="AM4" s="51">
        <v>0</v>
      </c>
      <c r="AN4" s="51">
        <v>0</v>
      </c>
      <c r="AO4" s="51">
        <v>0</v>
      </c>
      <c r="AP4" s="51">
        <v>0</v>
      </c>
      <c r="AQ4" s="51">
        <v>0</v>
      </c>
      <c r="AR4" s="51">
        <v>0</v>
      </c>
      <c r="AS4" s="51">
        <v>0</v>
      </c>
      <c r="AT4" s="51">
        <v>0</v>
      </c>
      <c r="AU4" s="51">
        <v>0</v>
      </c>
      <c r="AV4" s="51">
        <v>0</v>
      </c>
      <c r="AW4" s="51">
        <v>0</v>
      </c>
      <c r="AX4" s="51">
        <v>0</v>
      </c>
      <c r="AY4" s="51">
        <v>0</v>
      </c>
      <c r="AZ4" s="51">
        <v>0</v>
      </c>
      <c r="BA4" s="51">
        <v>0</v>
      </c>
      <c r="BB4" s="51">
        <v>0</v>
      </c>
      <c r="BC4" s="51">
        <v>0</v>
      </c>
      <c r="BD4" s="51">
        <v>0</v>
      </c>
      <c r="BE4" s="51">
        <v>0</v>
      </c>
      <c r="BF4" s="51">
        <v>0</v>
      </c>
      <c r="BG4" s="51">
        <v>0</v>
      </c>
      <c r="BH4" s="51">
        <v>0</v>
      </c>
      <c r="BI4" s="51">
        <v>0</v>
      </c>
      <c r="BJ4" s="51">
        <v>0</v>
      </c>
      <c r="BK4" s="51"/>
      <c r="BL4" s="51" t="s">
        <v>163</v>
      </c>
      <c r="BM4" s="51">
        <v>0</v>
      </c>
      <c r="BN4" s="51" t="s">
        <v>173</v>
      </c>
      <c r="BO4" s="51"/>
      <c r="BP4" s="51" t="s">
        <v>170</v>
      </c>
      <c r="BQ4" s="51" t="s">
        <v>154</v>
      </c>
      <c r="BR4" s="51">
        <v>22191</v>
      </c>
      <c r="BS4" s="51">
        <v>17</v>
      </c>
      <c r="BT4" s="51">
        <v>7</v>
      </c>
      <c r="BU4" s="51">
        <v>0</v>
      </c>
      <c r="BV4" s="51">
        <v>0</v>
      </c>
      <c r="BW4" s="51">
        <v>0</v>
      </c>
      <c r="BX4" s="51">
        <v>0</v>
      </c>
      <c r="BY4" s="51">
        <v>0</v>
      </c>
      <c r="BZ4" s="51">
        <v>0</v>
      </c>
      <c r="CA4" s="51">
        <v>0</v>
      </c>
      <c r="CB4" s="51">
        <v>0</v>
      </c>
      <c r="CC4" s="51">
        <v>0</v>
      </c>
      <c r="CD4" s="51">
        <v>17</v>
      </c>
      <c r="CE4" s="51">
        <v>0</v>
      </c>
      <c r="CF4" s="51"/>
      <c r="CG4" s="51"/>
      <c r="CH4" s="51">
        <v>0</v>
      </c>
      <c r="CI4" s="51">
        <v>11</v>
      </c>
      <c r="CJ4" s="51">
        <v>17</v>
      </c>
      <c r="CK4" s="52">
        <v>45422</v>
      </c>
      <c r="CL4" s="51" t="s">
        <v>174</v>
      </c>
      <c r="CM4" s="51"/>
      <c r="CN4" s="51" t="s">
        <v>12</v>
      </c>
      <c r="CO4" s="51"/>
      <c r="CP4" s="51">
        <v>2</v>
      </c>
    </row>
    <row r="5" spans="1:94" x14ac:dyDescent="0.25">
      <c r="A5" s="51">
        <v>4</v>
      </c>
      <c r="B5" s="51" t="s">
        <v>154</v>
      </c>
      <c r="C5" s="51" t="s">
        <v>155</v>
      </c>
      <c r="D5" s="51" t="s">
        <v>156</v>
      </c>
      <c r="E5" s="51" t="s">
        <v>157</v>
      </c>
      <c r="F5" s="51">
        <v>2024</v>
      </c>
      <c r="G5" s="51" t="s">
        <v>175</v>
      </c>
      <c r="H5" s="51">
        <v>23</v>
      </c>
      <c r="I5" s="51" t="s">
        <v>176</v>
      </c>
      <c r="J5" s="51"/>
      <c r="K5" s="51">
        <v>26</v>
      </c>
      <c r="L5" s="52">
        <v>45315</v>
      </c>
      <c r="M5" s="51" t="s">
        <v>2</v>
      </c>
      <c r="N5" s="51"/>
      <c r="O5" s="51" t="s">
        <v>161</v>
      </c>
      <c r="P5" s="51" t="s">
        <v>9</v>
      </c>
      <c r="Q5" s="51" t="s">
        <v>1</v>
      </c>
      <c r="R5" s="52">
        <v>44470</v>
      </c>
      <c r="S5" s="51" t="s">
        <v>0</v>
      </c>
      <c r="T5" s="52">
        <v>41183</v>
      </c>
      <c r="U5" s="51"/>
      <c r="V5" s="51">
        <v>0</v>
      </c>
      <c r="W5" s="51">
        <v>0</v>
      </c>
      <c r="X5" s="51">
        <v>0</v>
      </c>
      <c r="Y5" s="51">
        <v>0</v>
      </c>
      <c r="Z5" s="51">
        <v>0</v>
      </c>
      <c r="AA5" s="51">
        <v>0</v>
      </c>
      <c r="AB5" s="51">
        <v>0</v>
      </c>
      <c r="AC5" s="51">
        <v>0</v>
      </c>
      <c r="AD5" s="51">
        <v>0</v>
      </c>
      <c r="AE5" s="51">
        <v>0</v>
      </c>
      <c r="AF5" s="51">
        <v>0</v>
      </c>
      <c r="AG5" s="51">
        <v>0</v>
      </c>
      <c r="AH5" s="51">
        <v>0</v>
      </c>
      <c r="AI5" s="51">
        <v>0</v>
      </c>
      <c r="AJ5" s="51">
        <v>0</v>
      </c>
      <c r="AK5" s="51">
        <v>0</v>
      </c>
      <c r="AL5" s="51">
        <v>0</v>
      </c>
      <c r="AM5" s="51">
        <v>0</v>
      </c>
      <c r="AN5" s="51">
        <v>0</v>
      </c>
      <c r="AO5" s="51">
        <v>0</v>
      </c>
      <c r="AP5" s="51">
        <v>0</v>
      </c>
      <c r="AQ5" s="51">
        <v>0</v>
      </c>
      <c r="AR5" s="51">
        <v>0</v>
      </c>
      <c r="AS5" s="51">
        <v>0</v>
      </c>
      <c r="AT5" s="51">
        <v>0</v>
      </c>
      <c r="AU5" s="51">
        <v>0</v>
      </c>
      <c r="AV5" s="51">
        <v>0</v>
      </c>
      <c r="AW5" s="51">
        <v>0</v>
      </c>
      <c r="AX5" s="51">
        <v>0</v>
      </c>
      <c r="AY5" s="51">
        <v>0</v>
      </c>
      <c r="AZ5" s="51">
        <v>0</v>
      </c>
      <c r="BA5" s="51">
        <v>0</v>
      </c>
      <c r="BB5" s="51">
        <v>0</v>
      </c>
      <c r="BC5" s="51">
        <v>0</v>
      </c>
      <c r="BD5" s="51">
        <v>0</v>
      </c>
      <c r="BE5" s="51">
        <v>0</v>
      </c>
      <c r="BF5" s="51">
        <v>0</v>
      </c>
      <c r="BG5" s="51">
        <v>0</v>
      </c>
      <c r="BH5" s="51">
        <v>0</v>
      </c>
      <c r="BI5" s="51">
        <v>0</v>
      </c>
      <c r="BJ5" s="51">
        <v>1</v>
      </c>
      <c r="BK5" s="51" t="s">
        <v>177</v>
      </c>
      <c r="BL5" s="51" t="s">
        <v>178</v>
      </c>
      <c r="BM5" s="51">
        <v>0</v>
      </c>
      <c r="BN5" s="51" t="s">
        <v>179</v>
      </c>
      <c r="BO5" s="51"/>
      <c r="BP5" s="51" t="s">
        <v>170</v>
      </c>
      <c r="BQ5" s="51" t="s">
        <v>154</v>
      </c>
      <c r="BR5" s="51">
        <v>22191</v>
      </c>
      <c r="BS5" s="51">
        <v>21</v>
      </c>
      <c r="BT5" s="51">
        <v>4</v>
      </c>
      <c r="BU5" s="51">
        <v>0</v>
      </c>
      <c r="BV5" s="51">
        <v>0</v>
      </c>
      <c r="BW5" s="51">
        <v>0</v>
      </c>
      <c r="BX5" s="51">
        <v>0</v>
      </c>
      <c r="BY5" s="51">
        <v>0</v>
      </c>
      <c r="BZ5" s="51">
        <v>0</v>
      </c>
      <c r="CA5" s="51">
        <v>0</v>
      </c>
      <c r="CB5" s="51">
        <v>0</v>
      </c>
      <c r="CC5" s="51">
        <v>0</v>
      </c>
      <c r="CD5" s="51">
        <v>21</v>
      </c>
      <c r="CE5" s="51">
        <v>0</v>
      </c>
      <c r="CF5" s="51"/>
      <c r="CG5" s="51"/>
      <c r="CH5" s="51">
        <v>0</v>
      </c>
      <c r="CI5" s="51">
        <v>14</v>
      </c>
      <c r="CJ5" s="51">
        <v>21</v>
      </c>
      <c r="CK5" s="52">
        <v>45422</v>
      </c>
      <c r="CL5" s="51" t="s">
        <v>166</v>
      </c>
      <c r="CM5" s="51"/>
      <c r="CN5" s="51" t="s">
        <v>12</v>
      </c>
      <c r="CO5" s="51"/>
      <c r="CP5" s="51">
        <v>2</v>
      </c>
    </row>
    <row r="6" spans="1:94" x14ac:dyDescent="0.25">
      <c r="A6" s="51">
        <v>5</v>
      </c>
      <c r="B6" s="51" t="s">
        <v>154</v>
      </c>
      <c r="C6" s="51" t="s">
        <v>155</v>
      </c>
      <c r="D6" s="51" t="s">
        <v>156</v>
      </c>
      <c r="E6" s="51" t="s">
        <v>157</v>
      </c>
      <c r="F6" s="51">
        <v>2024</v>
      </c>
      <c r="G6" s="51" t="s">
        <v>175</v>
      </c>
      <c r="H6" s="51">
        <v>23</v>
      </c>
      <c r="I6" s="51" t="s">
        <v>180</v>
      </c>
      <c r="J6" s="51"/>
      <c r="K6" s="51">
        <v>34</v>
      </c>
      <c r="L6" s="52">
        <v>45315</v>
      </c>
      <c r="M6" s="51" t="s">
        <v>5</v>
      </c>
      <c r="N6" s="51"/>
      <c r="O6" s="51" t="s">
        <v>161</v>
      </c>
      <c r="P6" s="51" t="s">
        <v>9</v>
      </c>
      <c r="Q6" s="51" t="s">
        <v>1</v>
      </c>
      <c r="R6" s="52">
        <v>43488</v>
      </c>
      <c r="S6" s="51" t="s">
        <v>0</v>
      </c>
      <c r="T6" s="52">
        <v>39995</v>
      </c>
      <c r="U6" s="51"/>
      <c r="V6" s="51">
        <v>0</v>
      </c>
      <c r="W6" s="51">
        <v>0</v>
      </c>
      <c r="X6" s="51">
        <v>0</v>
      </c>
      <c r="Y6" s="51">
        <v>0</v>
      </c>
      <c r="Z6" s="51">
        <v>0</v>
      </c>
      <c r="AA6" s="51">
        <v>0</v>
      </c>
      <c r="AB6" s="51">
        <v>1</v>
      </c>
      <c r="AC6" s="51">
        <v>0</v>
      </c>
      <c r="AD6" s="51">
        <v>0</v>
      </c>
      <c r="AE6" s="51">
        <v>0</v>
      </c>
      <c r="AF6" s="51">
        <v>0</v>
      </c>
      <c r="AG6" s="51">
        <v>0</v>
      </c>
      <c r="AH6" s="51">
        <v>0</v>
      </c>
      <c r="AI6" s="51">
        <v>0</v>
      </c>
      <c r="AJ6" s="51">
        <v>0</v>
      </c>
      <c r="AK6" s="51">
        <v>0</v>
      </c>
      <c r="AL6" s="51">
        <v>0</v>
      </c>
      <c r="AM6" s="51">
        <v>0</v>
      </c>
      <c r="AN6" s="51">
        <v>0</v>
      </c>
      <c r="AO6" s="51">
        <v>0</v>
      </c>
      <c r="AP6" s="51">
        <v>0</v>
      </c>
      <c r="AQ6" s="51">
        <v>0</v>
      </c>
      <c r="AR6" s="51">
        <v>0</v>
      </c>
      <c r="AS6" s="51">
        <v>0</v>
      </c>
      <c r="AT6" s="51">
        <v>0</v>
      </c>
      <c r="AU6" s="51">
        <v>0</v>
      </c>
      <c r="AV6" s="51">
        <v>0</v>
      </c>
      <c r="AW6" s="51">
        <v>0</v>
      </c>
      <c r="AX6" s="51">
        <v>0</v>
      </c>
      <c r="AY6" s="51">
        <v>0</v>
      </c>
      <c r="AZ6" s="51">
        <v>0</v>
      </c>
      <c r="BA6" s="51">
        <v>0</v>
      </c>
      <c r="BB6" s="51">
        <v>0</v>
      </c>
      <c r="BC6" s="51">
        <v>0</v>
      </c>
      <c r="BD6" s="51">
        <v>0</v>
      </c>
      <c r="BE6" s="51">
        <v>0</v>
      </c>
      <c r="BF6" s="51">
        <v>0</v>
      </c>
      <c r="BG6" s="51">
        <v>0</v>
      </c>
      <c r="BH6" s="51">
        <v>0</v>
      </c>
      <c r="BI6" s="51">
        <v>0</v>
      </c>
      <c r="BJ6" s="51">
        <v>0</v>
      </c>
      <c r="BK6" s="51"/>
      <c r="BL6" s="51" t="s">
        <v>181</v>
      </c>
      <c r="BM6" s="51">
        <v>0</v>
      </c>
      <c r="BN6" s="51" t="s">
        <v>179</v>
      </c>
      <c r="BO6" s="51"/>
      <c r="BP6" s="51" t="s">
        <v>170</v>
      </c>
      <c r="BQ6" s="51" t="s">
        <v>154</v>
      </c>
      <c r="BR6" s="51">
        <v>22191</v>
      </c>
      <c r="BS6" s="51">
        <v>4</v>
      </c>
      <c r="BT6" s="51">
        <v>2</v>
      </c>
      <c r="BU6" s="51">
        <v>0</v>
      </c>
      <c r="BV6" s="51">
        <v>0</v>
      </c>
      <c r="BW6" s="51">
        <v>4</v>
      </c>
      <c r="BX6" s="51">
        <v>8</v>
      </c>
      <c r="BY6" s="51">
        <v>0</v>
      </c>
      <c r="BZ6" s="51">
        <v>0</v>
      </c>
      <c r="CA6" s="51">
        <v>8</v>
      </c>
      <c r="CB6" s="51">
        <v>0</v>
      </c>
      <c r="CC6" s="51">
        <v>0</v>
      </c>
      <c r="CD6" s="51">
        <v>12</v>
      </c>
      <c r="CE6" s="51">
        <v>0</v>
      </c>
      <c r="CF6" s="51"/>
      <c r="CG6" s="51"/>
      <c r="CH6" s="51">
        <v>0</v>
      </c>
      <c r="CI6" s="51">
        <v>12</v>
      </c>
      <c r="CJ6" s="51">
        <v>12</v>
      </c>
      <c r="CK6" s="52">
        <v>45422</v>
      </c>
      <c r="CL6" s="51"/>
      <c r="CM6" s="51"/>
      <c r="CN6" s="51" t="s">
        <v>12</v>
      </c>
      <c r="CO6" s="51"/>
      <c r="CP6" s="51">
        <v>2</v>
      </c>
    </row>
    <row r="7" spans="1:94" x14ac:dyDescent="0.25">
      <c r="A7" s="51">
        <v>6</v>
      </c>
      <c r="B7" s="51" t="s">
        <v>154</v>
      </c>
      <c r="C7" s="51" t="s">
        <v>155</v>
      </c>
      <c r="D7" s="51" t="s">
        <v>156</v>
      </c>
      <c r="E7" s="51" t="s">
        <v>157</v>
      </c>
      <c r="F7" s="51">
        <v>2024</v>
      </c>
      <c r="G7" s="51" t="s">
        <v>182</v>
      </c>
      <c r="H7" s="51">
        <v>6</v>
      </c>
      <c r="I7" s="51" t="s">
        <v>183</v>
      </c>
      <c r="J7" s="51"/>
      <c r="K7" s="51">
        <v>44</v>
      </c>
      <c r="L7" s="52">
        <v>45315</v>
      </c>
      <c r="M7" s="51" t="s">
        <v>3</v>
      </c>
      <c r="N7" s="51" t="s">
        <v>160</v>
      </c>
      <c r="O7" s="51" t="s">
        <v>161</v>
      </c>
      <c r="P7" s="51" t="s">
        <v>9</v>
      </c>
      <c r="Q7" s="51" t="s">
        <v>1</v>
      </c>
      <c r="R7" s="52">
        <v>44606</v>
      </c>
      <c r="S7" s="51" t="s">
        <v>0</v>
      </c>
      <c r="T7" s="52">
        <v>40934</v>
      </c>
      <c r="U7" s="51"/>
      <c r="V7" s="51">
        <v>1</v>
      </c>
      <c r="W7" s="51">
        <v>0</v>
      </c>
      <c r="X7" s="51">
        <v>0</v>
      </c>
      <c r="Y7" s="51">
        <v>0</v>
      </c>
      <c r="Z7" s="51">
        <v>0</v>
      </c>
      <c r="AA7" s="51">
        <v>0</v>
      </c>
      <c r="AB7" s="51">
        <v>0</v>
      </c>
      <c r="AC7" s="51">
        <v>0</v>
      </c>
      <c r="AD7" s="51">
        <v>0</v>
      </c>
      <c r="AE7" s="51">
        <v>0</v>
      </c>
      <c r="AF7" s="51">
        <v>0</v>
      </c>
      <c r="AG7" s="51">
        <v>0</v>
      </c>
      <c r="AH7" s="51">
        <v>0</v>
      </c>
      <c r="AI7" s="51">
        <v>0</v>
      </c>
      <c r="AJ7" s="51">
        <v>0</v>
      </c>
      <c r="AK7" s="51">
        <v>0</v>
      </c>
      <c r="AL7" s="51">
        <v>0</v>
      </c>
      <c r="AM7" s="51">
        <v>0</v>
      </c>
      <c r="AN7" s="51">
        <v>0</v>
      </c>
      <c r="AO7" s="51">
        <v>0</v>
      </c>
      <c r="AP7" s="51">
        <v>0</v>
      </c>
      <c r="AQ7" s="51">
        <v>0</v>
      </c>
      <c r="AR7" s="51">
        <v>0</v>
      </c>
      <c r="AS7" s="51">
        <v>0</v>
      </c>
      <c r="AT7" s="51">
        <v>0</v>
      </c>
      <c r="AU7" s="51">
        <v>0</v>
      </c>
      <c r="AV7" s="51">
        <v>0</v>
      </c>
      <c r="AW7" s="51">
        <v>0</v>
      </c>
      <c r="AX7" s="51">
        <v>0</v>
      </c>
      <c r="AY7" s="51">
        <v>0</v>
      </c>
      <c r="AZ7" s="51">
        <v>0</v>
      </c>
      <c r="BA7" s="51">
        <v>0</v>
      </c>
      <c r="BB7" s="51">
        <v>0</v>
      </c>
      <c r="BC7" s="51">
        <v>0</v>
      </c>
      <c r="BD7" s="51">
        <v>0</v>
      </c>
      <c r="BE7" s="51">
        <v>0</v>
      </c>
      <c r="BF7" s="51">
        <v>0</v>
      </c>
      <c r="BG7" s="51">
        <v>0</v>
      </c>
      <c r="BH7" s="51">
        <v>0</v>
      </c>
      <c r="BI7" s="51">
        <v>0</v>
      </c>
      <c r="BJ7" s="51">
        <v>1</v>
      </c>
      <c r="BK7" s="51" t="s">
        <v>162</v>
      </c>
      <c r="BL7" s="51" t="s">
        <v>163</v>
      </c>
      <c r="BM7" s="51">
        <v>0</v>
      </c>
      <c r="BN7" s="51" t="s">
        <v>184</v>
      </c>
      <c r="BO7" s="51"/>
      <c r="BP7" s="51" t="s">
        <v>185</v>
      </c>
      <c r="BQ7" s="51" t="s">
        <v>154</v>
      </c>
      <c r="BR7" s="51">
        <v>22026</v>
      </c>
      <c r="BS7" s="51">
        <v>14</v>
      </c>
      <c r="BT7" s="51">
        <v>4</v>
      </c>
      <c r="BU7" s="51">
        <v>0</v>
      </c>
      <c r="BV7" s="51">
        <v>0</v>
      </c>
      <c r="BW7" s="51">
        <v>0</v>
      </c>
      <c r="BX7" s="51">
        <v>4</v>
      </c>
      <c r="BY7" s="51">
        <v>0</v>
      </c>
      <c r="BZ7" s="51">
        <v>0</v>
      </c>
      <c r="CA7" s="51">
        <v>0</v>
      </c>
      <c r="CB7" s="51">
        <v>0</v>
      </c>
      <c r="CC7" s="51">
        <v>0</v>
      </c>
      <c r="CD7" s="51">
        <v>18</v>
      </c>
      <c r="CE7" s="51">
        <v>0</v>
      </c>
      <c r="CF7" s="51"/>
      <c r="CG7" s="51"/>
      <c r="CH7" s="51">
        <v>0</v>
      </c>
      <c r="CI7" s="51">
        <v>15</v>
      </c>
      <c r="CJ7" s="51">
        <v>18</v>
      </c>
      <c r="CK7" s="52">
        <v>45422</v>
      </c>
      <c r="CL7" s="51" t="s">
        <v>166</v>
      </c>
      <c r="CM7" s="51"/>
      <c r="CN7" s="51" t="s">
        <v>12</v>
      </c>
      <c r="CO7" s="51"/>
      <c r="CP7" s="51">
        <v>2</v>
      </c>
    </row>
    <row r="8" spans="1:94" x14ac:dyDescent="0.25">
      <c r="A8" s="51">
        <v>7</v>
      </c>
      <c r="B8" s="51" t="s">
        <v>154</v>
      </c>
      <c r="C8" s="51" t="s">
        <v>155</v>
      </c>
      <c r="D8" s="51" t="s">
        <v>156</v>
      </c>
      <c r="E8" s="51" t="s">
        <v>157</v>
      </c>
      <c r="F8" s="51">
        <v>2024</v>
      </c>
      <c r="G8" s="51" t="s">
        <v>186</v>
      </c>
      <c r="H8" s="51">
        <v>40</v>
      </c>
      <c r="I8" s="51" t="s">
        <v>187</v>
      </c>
      <c r="J8" s="51"/>
      <c r="K8" s="51">
        <v>45</v>
      </c>
      <c r="L8" s="52">
        <v>45315</v>
      </c>
      <c r="M8" s="51" t="s">
        <v>2</v>
      </c>
      <c r="N8" s="51"/>
      <c r="O8" s="51" t="s">
        <v>161</v>
      </c>
      <c r="P8" s="51" t="s">
        <v>9</v>
      </c>
      <c r="Q8" s="51" t="s">
        <v>1</v>
      </c>
      <c r="R8" s="52">
        <v>41183</v>
      </c>
      <c r="S8" s="51" t="s">
        <v>0</v>
      </c>
      <c r="T8" s="52">
        <v>41183</v>
      </c>
      <c r="U8" s="51"/>
      <c r="V8" s="51">
        <v>0</v>
      </c>
      <c r="W8" s="51">
        <v>0</v>
      </c>
      <c r="X8" s="51">
        <v>0</v>
      </c>
      <c r="Y8" s="51">
        <v>0</v>
      </c>
      <c r="Z8" s="51">
        <v>0</v>
      </c>
      <c r="AA8" s="51">
        <v>0</v>
      </c>
      <c r="AB8" s="51">
        <v>0</v>
      </c>
      <c r="AC8" s="51">
        <v>0</v>
      </c>
      <c r="AD8" s="51">
        <v>0</v>
      </c>
      <c r="AE8" s="51">
        <v>0</v>
      </c>
      <c r="AF8" s="51">
        <v>0</v>
      </c>
      <c r="AG8" s="51">
        <v>0</v>
      </c>
      <c r="AH8" s="51">
        <v>0</v>
      </c>
      <c r="AI8" s="51">
        <v>0</v>
      </c>
      <c r="AJ8" s="51">
        <v>0</v>
      </c>
      <c r="AK8" s="51">
        <v>0</v>
      </c>
      <c r="AL8" s="51">
        <v>0</v>
      </c>
      <c r="AM8" s="51">
        <v>0</v>
      </c>
      <c r="AN8" s="51">
        <v>0</v>
      </c>
      <c r="AO8" s="51">
        <v>0</v>
      </c>
      <c r="AP8" s="51">
        <v>0</v>
      </c>
      <c r="AQ8" s="51">
        <v>0</v>
      </c>
      <c r="AR8" s="51">
        <v>0</v>
      </c>
      <c r="AS8" s="51">
        <v>0</v>
      </c>
      <c r="AT8" s="51">
        <v>0</v>
      </c>
      <c r="AU8" s="51">
        <v>0</v>
      </c>
      <c r="AV8" s="51">
        <v>0</v>
      </c>
      <c r="AW8" s="51">
        <v>0</v>
      </c>
      <c r="AX8" s="51">
        <v>0</v>
      </c>
      <c r="AY8" s="51">
        <v>0</v>
      </c>
      <c r="AZ8" s="51">
        <v>0</v>
      </c>
      <c r="BA8" s="51">
        <v>0</v>
      </c>
      <c r="BB8" s="51">
        <v>0</v>
      </c>
      <c r="BC8" s="51">
        <v>0</v>
      </c>
      <c r="BD8" s="51">
        <v>0</v>
      </c>
      <c r="BE8" s="51">
        <v>0</v>
      </c>
      <c r="BF8" s="51">
        <v>0</v>
      </c>
      <c r="BG8" s="51">
        <v>0</v>
      </c>
      <c r="BH8" s="51">
        <v>0</v>
      </c>
      <c r="BI8" s="51">
        <v>0</v>
      </c>
      <c r="BJ8" s="51">
        <v>1</v>
      </c>
      <c r="BK8" s="51" t="s">
        <v>177</v>
      </c>
      <c r="BL8" s="51" t="s">
        <v>163</v>
      </c>
      <c r="BM8" s="51">
        <v>0</v>
      </c>
      <c r="BN8" s="51" t="s">
        <v>188</v>
      </c>
      <c r="BO8" s="51" t="s">
        <v>189</v>
      </c>
      <c r="BP8" s="51" t="s">
        <v>170</v>
      </c>
      <c r="BQ8" s="51" t="s">
        <v>154</v>
      </c>
      <c r="BR8" s="51">
        <v>22191</v>
      </c>
      <c r="BS8" s="51">
        <v>0</v>
      </c>
      <c r="BT8" s="51">
        <v>0</v>
      </c>
      <c r="BU8" s="51">
        <v>0</v>
      </c>
      <c r="BV8" s="51">
        <v>0</v>
      </c>
      <c r="BW8" s="51">
        <v>0</v>
      </c>
      <c r="BX8" s="51">
        <v>3</v>
      </c>
      <c r="BY8" s="51">
        <v>0</v>
      </c>
      <c r="BZ8" s="51">
        <v>0</v>
      </c>
      <c r="CA8" s="51">
        <v>0</v>
      </c>
      <c r="CB8" s="51">
        <v>0</v>
      </c>
      <c r="CC8" s="51">
        <v>0</v>
      </c>
      <c r="CD8" s="51">
        <v>3</v>
      </c>
      <c r="CE8" s="51">
        <v>0</v>
      </c>
      <c r="CF8" s="51"/>
      <c r="CG8" s="51"/>
      <c r="CH8" s="51">
        <v>0</v>
      </c>
      <c r="CI8" s="51">
        <v>3</v>
      </c>
      <c r="CJ8" s="51">
        <v>3</v>
      </c>
      <c r="CK8" s="52">
        <v>45422</v>
      </c>
      <c r="CL8" s="51" t="s">
        <v>166</v>
      </c>
      <c r="CM8" s="51"/>
      <c r="CN8" s="51" t="s">
        <v>12</v>
      </c>
      <c r="CO8" s="51"/>
      <c r="CP8" s="51">
        <v>2</v>
      </c>
    </row>
    <row r="9" spans="1:94" x14ac:dyDescent="0.25">
      <c r="A9" s="51">
        <v>8</v>
      </c>
      <c r="B9" s="51" t="s">
        <v>154</v>
      </c>
      <c r="C9" s="51" t="s">
        <v>155</v>
      </c>
      <c r="D9" s="51" t="s">
        <v>156</v>
      </c>
      <c r="E9" s="51" t="s">
        <v>157</v>
      </c>
      <c r="F9" s="51">
        <v>2024</v>
      </c>
      <c r="G9" s="51" t="s">
        <v>158</v>
      </c>
      <c r="H9" s="51">
        <v>49</v>
      </c>
      <c r="I9" s="51" t="s">
        <v>190</v>
      </c>
      <c r="J9" s="51"/>
      <c r="K9" s="51">
        <v>47</v>
      </c>
      <c r="L9" s="52">
        <v>45315</v>
      </c>
      <c r="M9" s="51" t="s">
        <v>4</v>
      </c>
      <c r="N9" s="51"/>
      <c r="O9" s="51" t="s">
        <v>161</v>
      </c>
      <c r="P9" s="51" t="s">
        <v>9</v>
      </c>
      <c r="Q9" s="51" t="s">
        <v>1</v>
      </c>
      <c r="R9" s="52">
        <v>45108</v>
      </c>
      <c r="S9" s="51" t="s">
        <v>0</v>
      </c>
      <c r="T9" s="52">
        <v>41821</v>
      </c>
      <c r="U9" s="51"/>
      <c r="V9" s="51">
        <v>0</v>
      </c>
      <c r="W9" s="51">
        <v>1</v>
      </c>
      <c r="X9" s="51">
        <v>0</v>
      </c>
      <c r="Y9" s="51">
        <v>0</v>
      </c>
      <c r="Z9" s="51">
        <v>0</v>
      </c>
      <c r="AA9" s="51">
        <v>0</v>
      </c>
      <c r="AB9" s="51">
        <v>0</v>
      </c>
      <c r="AC9" s="51">
        <v>0</v>
      </c>
      <c r="AD9" s="51">
        <v>0</v>
      </c>
      <c r="AE9" s="51">
        <v>0</v>
      </c>
      <c r="AF9" s="51">
        <v>0</v>
      </c>
      <c r="AG9" s="51">
        <v>0</v>
      </c>
      <c r="AH9" s="51">
        <v>0</v>
      </c>
      <c r="AI9" s="51">
        <v>0</v>
      </c>
      <c r="AJ9" s="51">
        <v>0</v>
      </c>
      <c r="AK9" s="51">
        <v>0</v>
      </c>
      <c r="AL9" s="51">
        <v>0</v>
      </c>
      <c r="AM9" s="51">
        <v>0</v>
      </c>
      <c r="AN9" s="51">
        <v>0</v>
      </c>
      <c r="AO9" s="51">
        <v>0</v>
      </c>
      <c r="AP9" s="51">
        <v>0</v>
      </c>
      <c r="AQ9" s="51">
        <v>0</v>
      </c>
      <c r="AR9" s="51">
        <v>0</v>
      </c>
      <c r="AS9" s="51">
        <v>0</v>
      </c>
      <c r="AT9" s="51">
        <v>0</v>
      </c>
      <c r="AU9" s="51">
        <v>0</v>
      </c>
      <c r="AV9" s="51">
        <v>0</v>
      </c>
      <c r="AW9" s="51">
        <v>0</v>
      </c>
      <c r="AX9" s="51">
        <v>0</v>
      </c>
      <c r="AY9" s="51">
        <v>0</v>
      </c>
      <c r="AZ9" s="51">
        <v>0</v>
      </c>
      <c r="BA9" s="51">
        <v>0</v>
      </c>
      <c r="BB9" s="51">
        <v>0</v>
      </c>
      <c r="BC9" s="51">
        <v>0</v>
      </c>
      <c r="BD9" s="51">
        <v>0</v>
      </c>
      <c r="BE9" s="51">
        <v>0</v>
      </c>
      <c r="BF9" s="51">
        <v>0</v>
      </c>
      <c r="BG9" s="51">
        <v>0</v>
      </c>
      <c r="BH9" s="51">
        <v>0</v>
      </c>
      <c r="BI9" s="51">
        <v>0</v>
      </c>
      <c r="BJ9" s="51">
        <v>0</v>
      </c>
      <c r="BK9" s="51"/>
      <c r="BL9" s="51" t="s">
        <v>178</v>
      </c>
      <c r="BM9" s="51">
        <v>0</v>
      </c>
      <c r="BN9" s="51" t="s">
        <v>164</v>
      </c>
      <c r="BO9" s="51"/>
      <c r="BP9" s="51" t="s">
        <v>165</v>
      </c>
      <c r="BQ9" s="51" t="s">
        <v>154</v>
      </c>
      <c r="BR9" s="51">
        <v>20110</v>
      </c>
      <c r="BS9" s="51">
        <v>0</v>
      </c>
      <c r="BT9" s="51">
        <v>0</v>
      </c>
      <c r="BU9" s="51">
        <v>0</v>
      </c>
      <c r="BV9" s="51">
        <v>0</v>
      </c>
      <c r="BW9" s="51">
        <v>0</v>
      </c>
      <c r="BX9" s="51">
        <v>0</v>
      </c>
      <c r="BY9" s="51">
        <v>0</v>
      </c>
      <c r="BZ9" s="51">
        <v>0</v>
      </c>
      <c r="CA9" s="51">
        <v>0</v>
      </c>
      <c r="CB9" s="51">
        <v>0</v>
      </c>
      <c r="CC9" s="51">
        <v>0</v>
      </c>
      <c r="CD9" s="51">
        <v>0</v>
      </c>
      <c r="CE9" s="51">
        <v>0</v>
      </c>
      <c r="CF9" s="51"/>
      <c r="CG9" s="51"/>
      <c r="CH9" s="51">
        <v>0</v>
      </c>
      <c r="CI9" s="51">
        <v>0</v>
      </c>
      <c r="CJ9" s="51">
        <v>0</v>
      </c>
      <c r="CK9" s="52">
        <v>45422</v>
      </c>
      <c r="CL9" s="51"/>
      <c r="CM9" s="51"/>
      <c r="CN9" s="51" t="s">
        <v>12</v>
      </c>
      <c r="CO9" s="51"/>
      <c r="CP9" s="51">
        <v>2</v>
      </c>
    </row>
    <row r="10" spans="1:94" x14ac:dyDescent="0.25">
      <c r="A10" s="51">
        <v>9</v>
      </c>
      <c r="B10" s="51" t="s">
        <v>154</v>
      </c>
      <c r="C10" s="51" t="s">
        <v>155</v>
      </c>
      <c r="D10" s="51" t="s">
        <v>156</v>
      </c>
      <c r="E10" s="51" t="s">
        <v>157</v>
      </c>
      <c r="F10" s="51">
        <v>2024</v>
      </c>
      <c r="G10" s="51" t="s">
        <v>158</v>
      </c>
      <c r="H10" s="51">
        <v>49</v>
      </c>
      <c r="I10" s="51" t="s">
        <v>191</v>
      </c>
      <c r="J10" s="51"/>
      <c r="K10" s="51">
        <v>53</v>
      </c>
      <c r="L10" s="52">
        <v>45315</v>
      </c>
      <c r="M10" s="51" t="s">
        <v>4</v>
      </c>
      <c r="N10" s="51"/>
      <c r="O10" s="51" t="s">
        <v>161</v>
      </c>
      <c r="P10" s="51" t="s">
        <v>9</v>
      </c>
      <c r="Q10" s="51" t="s">
        <v>1</v>
      </c>
      <c r="R10" s="52">
        <v>45200</v>
      </c>
      <c r="S10" s="51" t="s">
        <v>0</v>
      </c>
      <c r="T10" s="52">
        <v>42186</v>
      </c>
      <c r="U10" s="51"/>
      <c r="V10" s="51">
        <v>0</v>
      </c>
      <c r="W10" s="51">
        <v>0</v>
      </c>
      <c r="X10" s="51">
        <v>0</v>
      </c>
      <c r="Y10" s="51">
        <v>0</v>
      </c>
      <c r="Z10" s="51">
        <v>0</v>
      </c>
      <c r="AA10" s="51">
        <v>0</v>
      </c>
      <c r="AB10" s="51">
        <v>0</v>
      </c>
      <c r="AC10" s="51">
        <v>1</v>
      </c>
      <c r="AD10" s="51">
        <v>0</v>
      </c>
      <c r="AE10" s="51">
        <v>0</v>
      </c>
      <c r="AF10" s="51">
        <v>0</v>
      </c>
      <c r="AG10" s="51">
        <v>0</v>
      </c>
      <c r="AH10" s="51">
        <v>0</v>
      </c>
      <c r="AI10" s="51">
        <v>0</v>
      </c>
      <c r="AJ10" s="51">
        <v>0</v>
      </c>
      <c r="AK10" s="51">
        <v>0</v>
      </c>
      <c r="AL10" s="51">
        <v>0</v>
      </c>
      <c r="AM10" s="51">
        <v>0</v>
      </c>
      <c r="AN10" s="51">
        <v>0</v>
      </c>
      <c r="AO10" s="51">
        <v>0</v>
      </c>
      <c r="AP10" s="51">
        <v>0</v>
      </c>
      <c r="AQ10" s="51">
        <v>0</v>
      </c>
      <c r="AR10" s="51">
        <v>0</v>
      </c>
      <c r="AS10" s="51">
        <v>0</v>
      </c>
      <c r="AT10" s="51">
        <v>0</v>
      </c>
      <c r="AU10" s="51">
        <v>0</v>
      </c>
      <c r="AV10" s="51">
        <v>0</v>
      </c>
      <c r="AW10" s="51">
        <v>0</v>
      </c>
      <c r="AX10" s="51">
        <v>0</v>
      </c>
      <c r="AY10" s="51">
        <v>0</v>
      </c>
      <c r="AZ10" s="51">
        <v>0</v>
      </c>
      <c r="BA10" s="51">
        <v>0</v>
      </c>
      <c r="BB10" s="51">
        <v>0</v>
      </c>
      <c r="BC10" s="51">
        <v>0</v>
      </c>
      <c r="BD10" s="51">
        <v>0</v>
      </c>
      <c r="BE10" s="51">
        <v>0</v>
      </c>
      <c r="BF10" s="51">
        <v>0</v>
      </c>
      <c r="BG10" s="51">
        <v>0</v>
      </c>
      <c r="BH10" s="51">
        <v>0</v>
      </c>
      <c r="BI10" s="51">
        <v>0</v>
      </c>
      <c r="BJ10" s="51">
        <v>1</v>
      </c>
      <c r="BK10" s="51" t="s">
        <v>162</v>
      </c>
      <c r="BL10" s="51" t="s">
        <v>178</v>
      </c>
      <c r="BM10" s="51">
        <v>0</v>
      </c>
      <c r="BN10" s="51" t="s">
        <v>164</v>
      </c>
      <c r="BO10" s="51"/>
      <c r="BP10" s="51" t="s">
        <v>165</v>
      </c>
      <c r="BQ10" s="51" t="s">
        <v>154</v>
      </c>
      <c r="BR10" s="51">
        <v>20110</v>
      </c>
      <c r="BS10" s="51">
        <v>6</v>
      </c>
      <c r="BT10" s="51">
        <v>2</v>
      </c>
      <c r="BU10" s="51">
        <v>0</v>
      </c>
      <c r="BV10" s="51">
        <v>0</v>
      </c>
      <c r="BW10" s="51">
        <v>0</v>
      </c>
      <c r="BX10" s="51">
        <v>2</v>
      </c>
      <c r="BY10" s="51">
        <v>0</v>
      </c>
      <c r="BZ10" s="51">
        <v>0</v>
      </c>
      <c r="CA10" s="51">
        <v>0</v>
      </c>
      <c r="CB10" s="51">
        <v>0</v>
      </c>
      <c r="CC10" s="51">
        <v>0</v>
      </c>
      <c r="CD10" s="51">
        <v>8</v>
      </c>
      <c r="CE10" s="51">
        <v>0</v>
      </c>
      <c r="CF10" s="51"/>
      <c r="CG10" s="51"/>
      <c r="CH10" s="51">
        <v>0</v>
      </c>
      <c r="CI10" s="51">
        <v>8</v>
      </c>
      <c r="CJ10" s="51">
        <v>8</v>
      </c>
      <c r="CK10" s="52">
        <v>45422</v>
      </c>
      <c r="CL10" s="51" t="s">
        <v>166</v>
      </c>
      <c r="CM10" s="51"/>
      <c r="CN10" s="51" t="s">
        <v>12</v>
      </c>
      <c r="CO10" s="51"/>
      <c r="CP10" s="51">
        <v>2</v>
      </c>
    </row>
    <row r="11" spans="1:94" x14ac:dyDescent="0.25">
      <c r="A11" s="51">
        <v>10</v>
      </c>
      <c r="B11" s="51" t="s">
        <v>154</v>
      </c>
      <c r="C11" s="51" t="s">
        <v>155</v>
      </c>
      <c r="D11" s="51" t="s">
        <v>156</v>
      </c>
      <c r="E11" s="51" t="s">
        <v>157</v>
      </c>
      <c r="F11" s="51">
        <v>2024</v>
      </c>
      <c r="G11" s="51" t="s">
        <v>182</v>
      </c>
      <c r="H11" s="51">
        <v>6</v>
      </c>
      <c r="I11" s="51" t="s">
        <v>192</v>
      </c>
      <c r="J11" s="51"/>
      <c r="K11" s="51">
        <v>59</v>
      </c>
      <c r="L11" s="52">
        <v>45315</v>
      </c>
      <c r="M11" s="51" t="s">
        <v>4</v>
      </c>
      <c r="N11" s="51"/>
      <c r="O11" s="51" t="s">
        <v>161</v>
      </c>
      <c r="P11" s="51" t="s">
        <v>9</v>
      </c>
      <c r="Q11" s="51" t="s">
        <v>1</v>
      </c>
      <c r="R11" s="52">
        <v>44835</v>
      </c>
      <c r="S11" s="51" t="s">
        <v>0</v>
      </c>
      <c r="T11" s="52">
        <v>43282</v>
      </c>
      <c r="U11" s="51"/>
      <c r="V11" s="51">
        <v>0</v>
      </c>
      <c r="W11" s="51">
        <v>1</v>
      </c>
      <c r="X11" s="51">
        <v>0</v>
      </c>
      <c r="Y11" s="51">
        <v>0</v>
      </c>
      <c r="Z11" s="51">
        <v>0</v>
      </c>
      <c r="AA11" s="51">
        <v>0</v>
      </c>
      <c r="AB11" s="51">
        <v>0</v>
      </c>
      <c r="AC11" s="51">
        <v>0</v>
      </c>
      <c r="AD11" s="51">
        <v>0</v>
      </c>
      <c r="AE11" s="51">
        <v>0</v>
      </c>
      <c r="AF11" s="51">
        <v>0</v>
      </c>
      <c r="AG11" s="51">
        <v>0</v>
      </c>
      <c r="AH11" s="51">
        <v>0</v>
      </c>
      <c r="AI11" s="51">
        <v>0</v>
      </c>
      <c r="AJ11" s="51">
        <v>0</v>
      </c>
      <c r="AK11" s="51">
        <v>0</v>
      </c>
      <c r="AL11" s="51">
        <v>0</v>
      </c>
      <c r="AM11" s="51">
        <v>0</v>
      </c>
      <c r="AN11" s="51">
        <v>0</v>
      </c>
      <c r="AO11" s="51">
        <v>0</v>
      </c>
      <c r="AP11" s="51">
        <v>0</v>
      </c>
      <c r="AQ11" s="51">
        <v>0</v>
      </c>
      <c r="AR11" s="51">
        <v>0</v>
      </c>
      <c r="AS11" s="51">
        <v>0</v>
      </c>
      <c r="AT11" s="51">
        <v>0</v>
      </c>
      <c r="AU11" s="51">
        <v>0</v>
      </c>
      <c r="AV11" s="51">
        <v>0</v>
      </c>
      <c r="AW11" s="51">
        <v>0</v>
      </c>
      <c r="AX11" s="51">
        <v>0</v>
      </c>
      <c r="AY11" s="51">
        <v>0</v>
      </c>
      <c r="AZ11" s="51">
        <v>0</v>
      </c>
      <c r="BA11" s="51">
        <v>0</v>
      </c>
      <c r="BB11" s="51">
        <v>0</v>
      </c>
      <c r="BC11" s="51">
        <v>0</v>
      </c>
      <c r="BD11" s="51">
        <v>0</v>
      </c>
      <c r="BE11" s="51">
        <v>0</v>
      </c>
      <c r="BF11" s="51">
        <v>0</v>
      </c>
      <c r="BG11" s="51">
        <v>0</v>
      </c>
      <c r="BH11" s="51">
        <v>0</v>
      </c>
      <c r="BI11" s="51">
        <v>0</v>
      </c>
      <c r="BJ11" s="51">
        <v>0</v>
      </c>
      <c r="BK11" s="51"/>
      <c r="BL11" s="51" t="s">
        <v>178</v>
      </c>
      <c r="BM11" s="51">
        <v>0</v>
      </c>
      <c r="BN11" s="51" t="s">
        <v>193</v>
      </c>
      <c r="BO11" s="51"/>
      <c r="BP11" s="51" t="s">
        <v>185</v>
      </c>
      <c r="BQ11" s="51" t="s">
        <v>154</v>
      </c>
      <c r="BR11" s="51">
        <v>22026</v>
      </c>
      <c r="BS11" s="51">
        <v>4</v>
      </c>
      <c r="BT11" s="51">
        <v>1</v>
      </c>
      <c r="BU11" s="51">
        <v>0</v>
      </c>
      <c r="BV11" s="51">
        <v>0</v>
      </c>
      <c r="BW11" s="51">
        <v>0</v>
      </c>
      <c r="BX11" s="51">
        <v>2</v>
      </c>
      <c r="BY11" s="51">
        <v>0</v>
      </c>
      <c r="BZ11" s="51">
        <v>0</v>
      </c>
      <c r="CA11" s="51">
        <v>0</v>
      </c>
      <c r="CB11" s="51">
        <v>0</v>
      </c>
      <c r="CC11" s="51">
        <v>0</v>
      </c>
      <c r="CD11" s="51">
        <v>6</v>
      </c>
      <c r="CE11" s="51">
        <v>0</v>
      </c>
      <c r="CF11" s="51"/>
      <c r="CG11" s="51"/>
      <c r="CH11" s="51">
        <v>0</v>
      </c>
      <c r="CI11" s="51">
        <v>6</v>
      </c>
      <c r="CJ11" s="51">
        <v>6</v>
      </c>
      <c r="CK11" s="52">
        <v>45422</v>
      </c>
      <c r="CL11" s="51"/>
      <c r="CM11" s="51"/>
      <c r="CN11" s="51" t="s">
        <v>12</v>
      </c>
      <c r="CO11" s="51"/>
      <c r="CP11" s="51">
        <v>2</v>
      </c>
    </row>
    <row r="12" spans="1:94" x14ac:dyDescent="0.25">
      <c r="A12" s="51">
        <v>11</v>
      </c>
      <c r="B12" s="51" t="s">
        <v>154</v>
      </c>
      <c r="C12" s="51" t="s">
        <v>155</v>
      </c>
      <c r="D12" s="51" t="s">
        <v>156</v>
      </c>
      <c r="E12" s="51" t="s">
        <v>157</v>
      </c>
      <c r="F12" s="51">
        <v>2024</v>
      </c>
      <c r="G12" s="51" t="s">
        <v>182</v>
      </c>
      <c r="H12" s="51">
        <v>6</v>
      </c>
      <c r="I12" s="51" t="s">
        <v>194</v>
      </c>
      <c r="J12" s="51"/>
      <c r="K12" s="51">
        <v>60</v>
      </c>
      <c r="L12" s="52">
        <v>45315</v>
      </c>
      <c r="M12" s="51" t="s">
        <v>4</v>
      </c>
      <c r="N12" s="51"/>
      <c r="O12" s="51" t="s">
        <v>161</v>
      </c>
      <c r="P12" s="51" t="s">
        <v>9</v>
      </c>
      <c r="Q12" s="51" t="s">
        <v>1</v>
      </c>
      <c r="R12" s="52">
        <v>44835</v>
      </c>
      <c r="S12" s="51" t="s">
        <v>0</v>
      </c>
      <c r="T12" s="52">
        <v>42186</v>
      </c>
      <c r="U12" s="51"/>
      <c r="V12" s="51">
        <v>0</v>
      </c>
      <c r="W12" s="51">
        <v>1</v>
      </c>
      <c r="X12" s="51">
        <v>0</v>
      </c>
      <c r="Y12" s="51">
        <v>0</v>
      </c>
      <c r="Z12" s="51">
        <v>0</v>
      </c>
      <c r="AA12" s="51">
        <v>0</v>
      </c>
      <c r="AB12" s="51">
        <v>0</v>
      </c>
      <c r="AC12" s="51">
        <v>0</v>
      </c>
      <c r="AD12" s="51">
        <v>0</v>
      </c>
      <c r="AE12" s="51">
        <v>0</v>
      </c>
      <c r="AF12" s="51">
        <v>0</v>
      </c>
      <c r="AG12" s="51">
        <v>0</v>
      </c>
      <c r="AH12" s="51">
        <v>0</v>
      </c>
      <c r="AI12" s="51">
        <v>0</v>
      </c>
      <c r="AJ12" s="51">
        <v>0</v>
      </c>
      <c r="AK12" s="51">
        <v>0</v>
      </c>
      <c r="AL12" s="51">
        <v>0</v>
      </c>
      <c r="AM12" s="51">
        <v>0</v>
      </c>
      <c r="AN12" s="51">
        <v>0</v>
      </c>
      <c r="AO12" s="51">
        <v>0</v>
      </c>
      <c r="AP12" s="51">
        <v>0</v>
      </c>
      <c r="AQ12" s="51">
        <v>0</v>
      </c>
      <c r="AR12" s="51">
        <v>0</v>
      </c>
      <c r="AS12" s="51">
        <v>0</v>
      </c>
      <c r="AT12" s="51">
        <v>0</v>
      </c>
      <c r="AU12" s="51">
        <v>0</v>
      </c>
      <c r="AV12" s="51">
        <v>0</v>
      </c>
      <c r="AW12" s="51">
        <v>0</v>
      </c>
      <c r="AX12" s="51">
        <v>0</v>
      </c>
      <c r="AY12" s="51">
        <v>0</v>
      </c>
      <c r="AZ12" s="51">
        <v>0</v>
      </c>
      <c r="BA12" s="51">
        <v>0</v>
      </c>
      <c r="BB12" s="51">
        <v>0</v>
      </c>
      <c r="BC12" s="51">
        <v>0</v>
      </c>
      <c r="BD12" s="51">
        <v>0</v>
      </c>
      <c r="BE12" s="51">
        <v>0</v>
      </c>
      <c r="BF12" s="51">
        <v>0</v>
      </c>
      <c r="BG12" s="51">
        <v>0</v>
      </c>
      <c r="BH12" s="51">
        <v>0</v>
      </c>
      <c r="BI12" s="51">
        <v>0</v>
      </c>
      <c r="BJ12" s="51">
        <v>1</v>
      </c>
      <c r="BK12" s="51" t="s">
        <v>195</v>
      </c>
      <c r="BL12" s="51" t="s">
        <v>178</v>
      </c>
      <c r="BM12" s="51">
        <v>0</v>
      </c>
      <c r="BN12" s="51" t="s">
        <v>193</v>
      </c>
      <c r="BO12" s="51"/>
      <c r="BP12" s="51" t="s">
        <v>185</v>
      </c>
      <c r="BQ12" s="51" t="s">
        <v>154</v>
      </c>
      <c r="BR12" s="51">
        <v>22026</v>
      </c>
      <c r="BS12" s="51">
        <v>11</v>
      </c>
      <c r="BT12" s="51">
        <v>4</v>
      </c>
      <c r="BU12" s="51">
        <v>0</v>
      </c>
      <c r="BV12" s="51">
        <v>0</v>
      </c>
      <c r="BW12" s="51">
        <v>0</v>
      </c>
      <c r="BX12" s="51">
        <v>3</v>
      </c>
      <c r="BY12" s="51">
        <v>0</v>
      </c>
      <c r="BZ12" s="51">
        <v>0</v>
      </c>
      <c r="CA12" s="51">
        <v>0</v>
      </c>
      <c r="CB12" s="51">
        <v>0</v>
      </c>
      <c r="CC12" s="51">
        <v>0</v>
      </c>
      <c r="CD12" s="51">
        <v>14</v>
      </c>
      <c r="CE12" s="51">
        <v>0</v>
      </c>
      <c r="CF12" s="51"/>
      <c r="CG12" s="51"/>
      <c r="CH12" s="51">
        <v>0</v>
      </c>
      <c r="CI12" s="51">
        <v>14</v>
      </c>
      <c r="CJ12" s="51">
        <v>14</v>
      </c>
      <c r="CK12" s="52">
        <v>45422</v>
      </c>
      <c r="CL12" s="51"/>
      <c r="CM12" s="51"/>
      <c r="CN12" s="51" t="s">
        <v>12</v>
      </c>
      <c r="CO12" s="51"/>
      <c r="CP12" s="51">
        <v>2</v>
      </c>
    </row>
    <row r="13" spans="1:94" x14ac:dyDescent="0.25">
      <c r="A13" s="51">
        <v>12</v>
      </c>
      <c r="B13" s="51" t="s">
        <v>154</v>
      </c>
      <c r="C13" s="51" t="s">
        <v>155</v>
      </c>
      <c r="D13" s="51" t="s">
        <v>156</v>
      </c>
      <c r="E13" s="51" t="s">
        <v>157</v>
      </c>
      <c r="F13" s="51">
        <v>2024</v>
      </c>
      <c r="G13" s="51" t="s">
        <v>196</v>
      </c>
      <c r="H13" s="51">
        <v>73</v>
      </c>
      <c r="I13" s="51" t="s">
        <v>197</v>
      </c>
      <c r="J13" s="51"/>
      <c r="K13" s="51">
        <v>74</v>
      </c>
      <c r="L13" s="52">
        <v>45315</v>
      </c>
      <c r="M13" s="51" t="s">
        <v>5</v>
      </c>
      <c r="N13" s="51"/>
      <c r="O13" s="51" t="s">
        <v>161</v>
      </c>
      <c r="P13" s="51" t="s">
        <v>12</v>
      </c>
      <c r="Q13" s="51" t="s">
        <v>1</v>
      </c>
      <c r="R13" s="52">
        <v>44470</v>
      </c>
      <c r="S13" s="51" t="s">
        <v>0</v>
      </c>
      <c r="T13" s="52">
        <v>41183</v>
      </c>
      <c r="U13" s="51"/>
      <c r="V13" s="51">
        <v>0</v>
      </c>
      <c r="W13" s="51">
        <v>0</v>
      </c>
      <c r="X13" s="51">
        <v>0</v>
      </c>
      <c r="Y13" s="51">
        <v>0</v>
      </c>
      <c r="Z13" s="51">
        <v>0</v>
      </c>
      <c r="AA13" s="51">
        <v>0</v>
      </c>
      <c r="AB13" s="51">
        <v>0</v>
      </c>
      <c r="AC13" s="51">
        <v>0</v>
      </c>
      <c r="AD13" s="51">
        <v>0</v>
      </c>
      <c r="AE13" s="51">
        <v>0</v>
      </c>
      <c r="AF13" s="51">
        <v>0</v>
      </c>
      <c r="AG13" s="51">
        <v>0</v>
      </c>
      <c r="AH13" s="51">
        <v>0</v>
      </c>
      <c r="AI13" s="51">
        <v>0</v>
      </c>
      <c r="AJ13" s="51">
        <v>0</v>
      </c>
      <c r="AK13" s="51">
        <v>0</v>
      </c>
      <c r="AL13" s="51">
        <v>0</v>
      </c>
      <c r="AM13" s="51">
        <v>1</v>
      </c>
      <c r="AN13" s="51">
        <v>0</v>
      </c>
      <c r="AO13" s="51">
        <v>0</v>
      </c>
      <c r="AP13" s="51">
        <v>0</v>
      </c>
      <c r="AQ13" s="51">
        <v>0</v>
      </c>
      <c r="AR13" s="51">
        <v>0</v>
      </c>
      <c r="AS13" s="51">
        <v>0</v>
      </c>
      <c r="AT13" s="51">
        <v>0</v>
      </c>
      <c r="AU13" s="51">
        <v>0</v>
      </c>
      <c r="AV13" s="51">
        <v>0</v>
      </c>
      <c r="AW13" s="51">
        <v>0</v>
      </c>
      <c r="AX13" s="51">
        <v>0</v>
      </c>
      <c r="AY13" s="51">
        <v>0</v>
      </c>
      <c r="AZ13" s="51">
        <v>0</v>
      </c>
      <c r="BA13" s="51">
        <v>0</v>
      </c>
      <c r="BB13" s="51">
        <v>0</v>
      </c>
      <c r="BC13" s="51">
        <v>0</v>
      </c>
      <c r="BD13" s="51">
        <v>0</v>
      </c>
      <c r="BE13" s="51">
        <v>0</v>
      </c>
      <c r="BF13" s="51">
        <v>0</v>
      </c>
      <c r="BG13" s="51">
        <v>0</v>
      </c>
      <c r="BH13" s="51">
        <v>0</v>
      </c>
      <c r="BI13" s="51">
        <v>0</v>
      </c>
      <c r="BJ13" s="51">
        <v>0</v>
      </c>
      <c r="BK13" s="51"/>
      <c r="BL13" s="51" t="s">
        <v>178</v>
      </c>
      <c r="BM13" s="51">
        <v>0</v>
      </c>
      <c r="BN13" s="51"/>
      <c r="BO13" s="51"/>
      <c r="BP13" s="51"/>
      <c r="BQ13" s="51"/>
      <c r="BR13" s="51">
        <v>22192</v>
      </c>
      <c r="BS13" s="51">
        <v>75</v>
      </c>
      <c r="BT13" s="51">
        <v>25</v>
      </c>
      <c r="BU13" s="51">
        <v>75</v>
      </c>
      <c r="BV13" s="51">
        <v>0</v>
      </c>
      <c r="BW13" s="51">
        <v>75</v>
      </c>
      <c r="BX13" s="51">
        <v>75</v>
      </c>
      <c r="BY13" s="51">
        <v>75</v>
      </c>
      <c r="BZ13" s="51">
        <v>0</v>
      </c>
      <c r="CA13" s="51">
        <v>75</v>
      </c>
      <c r="CB13" s="51">
        <v>0</v>
      </c>
      <c r="CC13" s="51">
        <v>0</v>
      </c>
      <c r="CD13" s="51">
        <v>150</v>
      </c>
      <c r="CE13" s="51">
        <v>0</v>
      </c>
      <c r="CF13" s="51"/>
      <c r="CG13" s="51"/>
      <c r="CH13" s="51">
        <v>0</v>
      </c>
      <c r="CI13" s="51">
        <v>121</v>
      </c>
      <c r="CJ13" s="51">
        <v>150</v>
      </c>
      <c r="CK13" s="52">
        <v>45422</v>
      </c>
      <c r="CL13" s="51" t="s">
        <v>198</v>
      </c>
      <c r="CM13" s="51"/>
      <c r="CN13" s="51" t="s">
        <v>12</v>
      </c>
      <c r="CO13" s="51"/>
      <c r="CP13" s="51">
        <v>2</v>
      </c>
    </row>
    <row r="14" spans="1:94" x14ac:dyDescent="0.25">
      <c r="A14" s="51">
        <v>13</v>
      </c>
      <c r="B14" s="51" t="s">
        <v>154</v>
      </c>
      <c r="C14" s="51" t="s">
        <v>155</v>
      </c>
      <c r="D14" s="51" t="s">
        <v>156</v>
      </c>
      <c r="E14" s="51" t="s">
        <v>157</v>
      </c>
      <c r="F14" s="51">
        <v>2024</v>
      </c>
      <c r="G14" s="51" t="s">
        <v>186</v>
      </c>
      <c r="H14" s="51">
        <v>40</v>
      </c>
      <c r="I14" s="51" t="s">
        <v>199</v>
      </c>
      <c r="J14" s="51"/>
      <c r="K14" s="51">
        <v>101</v>
      </c>
      <c r="L14" s="52">
        <v>45315</v>
      </c>
      <c r="M14" s="51" t="s">
        <v>5</v>
      </c>
      <c r="N14" s="51"/>
      <c r="O14" s="51" t="s">
        <v>161</v>
      </c>
      <c r="P14" s="51" t="s">
        <v>9</v>
      </c>
      <c r="Q14" s="51" t="s">
        <v>1</v>
      </c>
      <c r="R14" s="52">
        <v>45236</v>
      </c>
      <c r="S14" s="51" t="s">
        <v>0</v>
      </c>
      <c r="T14" s="52">
        <v>42552</v>
      </c>
      <c r="U14" s="51"/>
      <c r="V14" s="51">
        <v>0</v>
      </c>
      <c r="W14" s="51">
        <v>0</v>
      </c>
      <c r="X14" s="51">
        <v>0</v>
      </c>
      <c r="Y14" s="51">
        <v>0</v>
      </c>
      <c r="Z14" s="51">
        <v>0</v>
      </c>
      <c r="AA14" s="51">
        <v>0</v>
      </c>
      <c r="AB14" s="51">
        <v>1</v>
      </c>
      <c r="AC14" s="51">
        <v>0</v>
      </c>
      <c r="AD14" s="51">
        <v>0</v>
      </c>
      <c r="AE14" s="51">
        <v>0</v>
      </c>
      <c r="AF14" s="51">
        <v>0</v>
      </c>
      <c r="AG14" s="51">
        <v>0</v>
      </c>
      <c r="AH14" s="51">
        <v>0</v>
      </c>
      <c r="AI14" s="51">
        <v>0</v>
      </c>
      <c r="AJ14" s="51">
        <v>0</v>
      </c>
      <c r="AK14" s="51">
        <v>0</v>
      </c>
      <c r="AL14" s="51">
        <v>0</v>
      </c>
      <c r="AM14" s="51">
        <v>0</v>
      </c>
      <c r="AN14" s="51">
        <v>0</v>
      </c>
      <c r="AO14" s="51">
        <v>0</v>
      </c>
      <c r="AP14" s="51">
        <v>0</v>
      </c>
      <c r="AQ14" s="51">
        <v>0</v>
      </c>
      <c r="AR14" s="51">
        <v>0</v>
      </c>
      <c r="AS14" s="51">
        <v>0</v>
      </c>
      <c r="AT14" s="51">
        <v>0</v>
      </c>
      <c r="AU14" s="51">
        <v>0</v>
      </c>
      <c r="AV14" s="51">
        <v>0</v>
      </c>
      <c r="AW14" s="51">
        <v>0</v>
      </c>
      <c r="AX14" s="51">
        <v>0</v>
      </c>
      <c r="AY14" s="51">
        <v>0</v>
      </c>
      <c r="AZ14" s="51">
        <v>0</v>
      </c>
      <c r="BA14" s="51">
        <v>0</v>
      </c>
      <c r="BB14" s="51">
        <v>0</v>
      </c>
      <c r="BC14" s="51">
        <v>0</v>
      </c>
      <c r="BD14" s="51">
        <v>0</v>
      </c>
      <c r="BE14" s="51">
        <v>0</v>
      </c>
      <c r="BF14" s="51">
        <v>0</v>
      </c>
      <c r="BG14" s="51">
        <v>0</v>
      </c>
      <c r="BH14" s="51">
        <v>0</v>
      </c>
      <c r="BI14" s="51">
        <v>0</v>
      </c>
      <c r="BJ14" s="51">
        <v>0</v>
      </c>
      <c r="BK14" s="51"/>
      <c r="BL14" s="51" t="s">
        <v>181</v>
      </c>
      <c r="BM14" s="51">
        <v>0</v>
      </c>
      <c r="BN14" s="51" t="s">
        <v>188</v>
      </c>
      <c r="BO14" s="51" t="s">
        <v>189</v>
      </c>
      <c r="BP14" s="51" t="s">
        <v>170</v>
      </c>
      <c r="BQ14" s="51" t="s">
        <v>154</v>
      </c>
      <c r="BR14" s="51">
        <v>22191</v>
      </c>
      <c r="BS14" s="51">
        <v>0</v>
      </c>
      <c r="BT14" s="51">
        <v>0</v>
      </c>
      <c r="BU14" s="51">
        <v>0</v>
      </c>
      <c r="BV14" s="51">
        <v>0</v>
      </c>
      <c r="BW14" s="51">
        <v>0</v>
      </c>
      <c r="BX14" s="51">
        <v>12</v>
      </c>
      <c r="BY14" s="51">
        <v>0</v>
      </c>
      <c r="BZ14" s="51">
        <v>0</v>
      </c>
      <c r="CA14" s="51">
        <v>12</v>
      </c>
      <c r="CB14" s="51">
        <v>0</v>
      </c>
      <c r="CC14" s="51">
        <v>0</v>
      </c>
      <c r="CD14" s="51">
        <v>12</v>
      </c>
      <c r="CE14" s="51">
        <v>0</v>
      </c>
      <c r="CF14" s="51"/>
      <c r="CG14" s="51"/>
      <c r="CH14" s="51">
        <v>0</v>
      </c>
      <c r="CI14" s="51">
        <v>11</v>
      </c>
      <c r="CJ14" s="51">
        <v>12</v>
      </c>
      <c r="CK14" s="52">
        <v>45422</v>
      </c>
      <c r="CL14" s="51"/>
      <c r="CM14" s="51"/>
      <c r="CN14" s="51" t="s">
        <v>12</v>
      </c>
      <c r="CO14" s="51"/>
      <c r="CP14" s="51">
        <v>2</v>
      </c>
    </row>
    <row r="15" spans="1:94" x14ac:dyDescent="0.25">
      <c r="A15" s="51">
        <v>14</v>
      </c>
      <c r="B15" s="51" t="s">
        <v>154</v>
      </c>
      <c r="C15" s="51" t="s">
        <v>155</v>
      </c>
      <c r="D15" s="51" t="s">
        <v>156</v>
      </c>
      <c r="E15" s="51" t="s">
        <v>157</v>
      </c>
      <c r="F15" s="51">
        <v>2024</v>
      </c>
      <c r="G15" s="51" t="s">
        <v>186</v>
      </c>
      <c r="H15" s="51">
        <v>40</v>
      </c>
      <c r="I15" s="51" t="s">
        <v>200</v>
      </c>
      <c r="J15" s="51"/>
      <c r="K15" s="51">
        <v>109</v>
      </c>
      <c r="L15" s="52">
        <v>45315</v>
      </c>
      <c r="M15" s="51" t="s">
        <v>5</v>
      </c>
      <c r="N15" s="51"/>
      <c r="O15" s="51" t="s">
        <v>161</v>
      </c>
      <c r="P15" s="51" t="s">
        <v>9</v>
      </c>
      <c r="Q15" s="51" t="s">
        <v>1</v>
      </c>
      <c r="R15" s="52">
        <v>40725</v>
      </c>
      <c r="S15" s="51" t="s">
        <v>0</v>
      </c>
      <c r="T15" s="52">
        <v>40725</v>
      </c>
      <c r="U15" s="51"/>
      <c r="V15" s="51">
        <v>0</v>
      </c>
      <c r="W15" s="51">
        <v>0</v>
      </c>
      <c r="X15" s="51">
        <v>0</v>
      </c>
      <c r="Y15" s="51">
        <v>0</v>
      </c>
      <c r="Z15" s="51">
        <v>0</v>
      </c>
      <c r="AA15" s="51">
        <v>0</v>
      </c>
      <c r="AB15" s="51">
        <v>1</v>
      </c>
      <c r="AC15" s="51">
        <v>0</v>
      </c>
      <c r="AD15" s="51">
        <v>0</v>
      </c>
      <c r="AE15" s="51">
        <v>0</v>
      </c>
      <c r="AF15" s="51">
        <v>0</v>
      </c>
      <c r="AG15" s="51">
        <v>0</v>
      </c>
      <c r="AH15" s="51">
        <v>0</v>
      </c>
      <c r="AI15" s="51">
        <v>0</v>
      </c>
      <c r="AJ15" s="51">
        <v>0</v>
      </c>
      <c r="AK15" s="51">
        <v>0</v>
      </c>
      <c r="AL15" s="51">
        <v>0</v>
      </c>
      <c r="AM15" s="51">
        <v>0</v>
      </c>
      <c r="AN15" s="51">
        <v>0</v>
      </c>
      <c r="AO15" s="51">
        <v>0</v>
      </c>
      <c r="AP15" s="51">
        <v>0</v>
      </c>
      <c r="AQ15" s="51">
        <v>0</v>
      </c>
      <c r="AR15" s="51">
        <v>0</v>
      </c>
      <c r="AS15" s="51">
        <v>0</v>
      </c>
      <c r="AT15" s="51">
        <v>0</v>
      </c>
      <c r="AU15" s="51">
        <v>0</v>
      </c>
      <c r="AV15" s="51">
        <v>0</v>
      </c>
      <c r="AW15" s="51">
        <v>0</v>
      </c>
      <c r="AX15" s="51">
        <v>0</v>
      </c>
      <c r="AY15" s="51">
        <v>0</v>
      </c>
      <c r="AZ15" s="51">
        <v>0</v>
      </c>
      <c r="BA15" s="51">
        <v>0</v>
      </c>
      <c r="BB15" s="51">
        <v>0</v>
      </c>
      <c r="BC15" s="51">
        <v>0</v>
      </c>
      <c r="BD15" s="51">
        <v>0</v>
      </c>
      <c r="BE15" s="51">
        <v>0</v>
      </c>
      <c r="BF15" s="51">
        <v>0</v>
      </c>
      <c r="BG15" s="51">
        <v>0</v>
      </c>
      <c r="BH15" s="51">
        <v>0</v>
      </c>
      <c r="BI15" s="51">
        <v>0</v>
      </c>
      <c r="BJ15" s="51">
        <v>0</v>
      </c>
      <c r="BK15" s="51"/>
      <c r="BL15" s="51" t="s">
        <v>163</v>
      </c>
      <c r="BM15" s="51">
        <v>0</v>
      </c>
      <c r="BN15" s="51" t="s">
        <v>188</v>
      </c>
      <c r="BO15" s="51" t="s">
        <v>189</v>
      </c>
      <c r="BP15" s="51" t="s">
        <v>170</v>
      </c>
      <c r="BQ15" s="51" t="s">
        <v>154</v>
      </c>
      <c r="BR15" s="51">
        <v>22191</v>
      </c>
      <c r="BS15" s="51">
        <v>0</v>
      </c>
      <c r="BT15" s="51">
        <v>0</v>
      </c>
      <c r="BU15" s="51">
        <v>0</v>
      </c>
      <c r="BV15" s="51">
        <v>0</v>
      </c>
      <c r="BW15" s="51">
        <v>0</v>
      </c>
      <c r="BX15" s="51">
        <v>5</v>
      </c>
      <c r="BY15" s="51">
        <v>0</v>
      </c>
      <c r="BZ15" s="51">
        <v>0</v>
      </c>
      <c r="CA15" s="51">
        <v>5</v>
      </c>
      <c r="CB15" s="51">
        <v>0</v>
      </c>
      <c r="CC15" s="51">
        <v>0</v>
      </c>
      <c r="CD15" s="51">
        <v>5</v>
      </c>
      <c r="CE15" s="51">
        <v>0</v>
      </c>
      <c r="CF15" s="51"/>
      <c r="CG15" s="51"/>
      <c r="CH15" s="51">
        <v>0</v>
      </c>
      <c r="CI15" s="51">
        <v>5</v>
      </c>
      <c r="CJ15" s="51">
        <v>5</v>
      </c>
      <c r="CK15" s="52">
        <v>45422</v>
      </c>
      <c r="CL15" s="51"/>
      <c r="CM15" s="51"/>
      <c r="CN15" s="51" t="s">
        <v>12</v>
      </c>
      <c r="CO15" s="51"/>
      <c r="CP15" s="51">
        <v>2</v>
      </c>
    </row>
    <row r="16" spans="1:94" x14ac:dyDescent="0.25">
      <c r="A16" s="51">
        <v>15</v>
      </c>
      <c r="B16" s="51" t="s">
        <v>154</v>
      </c>
      <c r="C16" s="51" t="s">
        <v>155</v>
      </c>
      <c r="D16" s="51" t="s">
        <v>156</v>
      </c>
      <c r="E16" s="51" t="s">
        <v>157</v>
      </c>
      <c r="F16" s="51">
        <v>2024</v>
      </c>
      <c r="G16" s="51" t="s">
        <v>182</v>
      </c>
      <c r="H16" s="51">
        <v>6</v>
      </c>
      <c r="I16" s="51" t="s">
        <v>201</v>
      </c>
      <c r="J16" s="51"/>
      <c r="K16" s="51">
        <v>117</v>
      </c>
      <c r="L16" s="52">
        <v>45315</v>
      </c>
      <c r="M16" s="51" t="s">
        <v>4</v>
      </c>
      <c r="N16" s="51"/>
      <c r="O16" s="51" t="s">
        <v>161</v>
      </c>
      <c r="P16" s="51" t="s">
        <v>9</v>
      </c>
      <c r="Q16" s="51" t="s">
        <v>1</v>
      </c>
      <c r="R16" s="52">
        <v>45200</v>
      </c>
      <c r="S16" s="51" t="s">
        <v>0</v>
      </c>
      <c r="T16" s="52">
        <v>43282</v>
      </c>
      <c r="U16" s="51"/>
      <c r="V16" s="51">
        <v>0</v>
      </c>
      <c r="W16" s="51">
        <v>0</v>
      </c>
      <c r="X16" s="51">
        <v>0</v>
      </c>
      <c r="Y16" s="51">
        <v>0</v>
      </c>
      <c r="Z16" s="51">
        <v>0</v>
      </c>
      <c r="AA16" s="51">
        <v>0</v>
      </c>
      <c r="AB16" s="51">
        <v>0</v>
      </c>
      <c r="AC16" s="51">
        <v>1</v>
      </c>
      <c r="AD16" s="51">
        <v>0</v>
      </c>
      <c r="AE16" s="51">
        <v>0</v>
      </c>
      <c r="AF16" s="51">
        <v>0</v>
      </c>
      <c r="AG16" s="51">
        <v>0</v>
      </c>
      <c r="AH16" s="51">
        <v>0</v>
      </c>
      <c r="AI16" s="51">
        <v>0</v>
      </c>
      <c r="AJ16" s="51">
        <v>0</v>
      </c>
      <c r="AK16" s="51">
        <v>0</v>
      </c>
      <c r="AL16" s="51">
        <v>0</v>
      </c>
      <c r="AM16" s="51">
        <v>0</v>
      </c>
      <c r="AN16" s="51">
        <v>0</v>
      </c>
      <c r="AO16" s="51">
        <v>0</v>
      </c>
      <c r="AP16" s="51">
        <v>0</v>
      </c>
      <c r="AQ16" s="51">
        <v>0</v>
      </c>
      <c r="AR16" s="51">
        <v>0</v>
      </c>
      <c r="AS16" s="51">
        <v>0</v>
      </c>
      <c r="AT16" s="51">
        <v>0</v>
      </c>
      <c r="AU16" s="51">
        <v>0</v>
      </c>
      <c r="AV16" s="51">
        <v>0</v>
      </c>
      <c r="AW16" s="51">
        <v>0</v>
      </c>
      <c r="AX16" s="51">
        <v>0</v>
      </c>
      <c r="AY16" s="51">
        <v>0</v>
      </c>
      <c r="AZ16" s="51">
        <v>0</v>
      </c>
      <c r="BA16" s="51">
        <v>0</v>
      </c>
      <c r="BB16" s="51">
        <v>0</v>
      </c>
      <c r="BC16" s="51">
        <v>0</v>
      </c>
      <c r="BD16" s="51">
        <v>0</v>
      </c>
      <c r="BE16" s="51">
        <v>0</v>
      </c>
      <c r="BF16" s="51">
        <v>0</v>
      </c>
      <c r="BG16" s="51">
        <v>0</v>
      </c>
      <c r="BH16" s="51">
        <v>0</v>
      </c>
      <c r="BI16" s="51">
        <v>0</v>
      </c>
      <c r="BJ16" s="51">
        <v>0</v>
      </c>
      <c r="BK16" s="51"/>
      <c r="BL16" s="51" t="s">
        <v>178</v>
      </c>
      <c r="BM16" s="51">
        <v>0</v>
      </c>
      <c r="BN16" s="51" t="s">
        <v>193</v>
      </c>
      <c r="BO16" s="51"/>
      <c r="BP16" s="51" t="s">
        <v>185</v>
      </c>
      <c r="BQ16" s="51" t="s">
        <v>154</v>
      </c>
      <c r="BR16" s="51">
        <v>20136</v>
      </c>
      <c r="BS16" s="51">
        <v>7</v>
      </c>
      <c r="BT16" s="51">
        <v>3</v>
      </c>
      <c r="BU16" s="51">
        <v>0</v>
      </c>
      <c r="BV16" s="51">
        <v>0</v>
      </c>
      <c r="BW16" s="51">
        <v>0</v>
      </c>
      <c r="BX16" s="51">
        <v>3</v>
      </c>
      <c r="BY16" s="51">
        <v>0</v>
      </c>
      <c r="BZ16" s="51">
        <v>0</v>
      </c>
      <c r="CA16" s="51">
        <v>0</v>
      </c>
      <c r="CB16" s="51">
        <v>0</v>
      </c>
      <c r="CC16" s="51">
        <v>0</v>
      </c>
      <c r="CD16" s="51">
        <v>10</v>
      </c>
      <c r="CE16" s="51">
        <v>0</v>
      </c>
      <c r="CF16" s="51"/>
      <c r="CG16" s="51"/>
      <c r="CH16" s="51">
        <v>0</v>
      </c>
      <c r="CI16" s="51">
        <v>10</v>
      </c>
      <c r="CJ16" s="51">
        <v>10</v>
      </c>
      <c r="CK16" s="52">
        <v>45422</v>
      </c>
      <c r="CL16" s="51"/>
      <c r="CM16" s="51"/>
      <c r="CN16" s="51" t="s">
        <v>12</v>
      </c>
      <c r="CO16" s="51"/>
      <c r="CP16" s="51">
        <v>2</v>
      </c>
    </row>
    <row r="17" spans="1:94" x14ac:dyDescent="0.25">
      <c r="A17" s="51">
        <v>16</v>
      </c>
      <c r="B17" s="51" t="s">
        <v>154</v>
      </c>
      <c r="C17" s="51" t="s">
        <v>155</v>
      </c>
      <c r="D17" s="51" t="s">
        <v>156</v>
      </c>
      <c r="E17" s="51" t="s">
        <v>157</v>
      </c>
      <c r="F17" s="51">
        <v>2024</v>
      </c>
      <c r="G17" s="51" t="s">
        <v>202</v>
      </c>
      <c r="H17" s="51">
        <v>120</v>
      </c>
      <c r="I17" s="51" t="s">
        <v>203</v>
      </c>
      <c r="J17" s="51"/>
      <c r="K17" s="51">
        <v>121</v>
      </c>
      <c r="L17" s="52">
        <v>45315</v>
      </c>
      <c r="M17" s="51" t="s">
        <v>4</v>
      </c>
      <c r="N17" s="51"/>
      <c r="O17" s="51" t="s">
        <v>161</v>
      </c>
      <c r="P17" s="51" t="s">
        <v>12</v>
      </c>
      <c r="Q17" s="51" t="s">
        <v>1</v>
      </c>
      <c r="R17" s="52">
        <v>45200</v>
      </c>
      <c r="S17" s="51" t="s">
        <v>0</v>
      </c>
      <c r="T17" s="52">
        <v>41183</v>
      </c>
      <c r="U17" s="51"/>
      <c r="V17" s="51">
        <v>0</v>
      </c>
      <c r="W17" s="51">
        <v>0</v>
      </c>
      <c r="X17" s="51">
        <v>0</v>
      </c>
      <c r="Y17" s="51">
        <v>0</v>
      </c>
      <c r="Z17" s="51">
        <v>0</v>
      </c>
      <c r="AA17" s="51">
        <v>0</v>
      </c>
      <c r="AB17" s="51">
        <v>0</v>
      </c>
      <c r="AC17" s="51">
        <v>0</v>
      </c>
      <c r="AD17" s="51">
        <v>0</v>
      </c>
      <c r="AE17" s="51">
        <v>0</v>
      </c>
      <c r="AF17" s="51">
        <v>0</v>
      </c>
      <c r="AG17" s="51">
        <v>0</v>
      </c>
      <c r="AH17" s="51">
        <v>0</v>
      </c>
      <c r="AI17" s="51">
        <v>0</v>
      </c>
      <c r="AJ17" s="51">
        <v>0</v>
      </c>
      <c r="AK17" s="51">
        <v>0</v>
      </c>
      <c r="AL17" s="51">
        <v>0</v>
      </c>
      <c r="AM17" s="51">
        <v>0</v>
      </c>
      <c r="AN17" s="51">
        <v>1</v>
      </c>
      <c r="AO17" s="51">
        <v>0</v>
      </c>
      <c r="AP17" s="51">
        <v>0</v>
      </c>
      <c r="AQ17" s="51">
        <v>0</v>
      </c>
      <c r="AR17" s="51">
        <v>0</v>
      </c>
      <c r="AS17" s="51">
        <v>0</v>
      </c>
      <c r="AT17" s="51">
        <v>0</v>
      </c>
      <c r="AU17" s="51">
        <v>0</v>
      </c>
      <c r="AV17" s="51">
        <v>0</v>
      </c>
      <c r="AW17" s="51">
        <v>0</v>
      </c>
      <c r="AX17" s="51">
        <v>0</v>
      </c>
      <c r="AY17" s="51">
        <v>0</v>
      </c>
      <c r="AZ17" s="51">
        <v>0</v>
      </c>
      <c r="BA17" s="51">
        <v>0</v>
      </c>
      <c r="BB17" s="51">
        <v>0</v>
      </c>
      <c r="BC17" s="51">
        <v>0</v>
      </c>
      <c r="BD17" s="51">
        <v>0</v>
      </c>
      <c r="BE17" s="51">
        <v>0</v>
      </c>
      <c r="BF17" s="51">
        <v>0</v>
      </c>
      <c r="BG17" s="51">
        <v>0</v>
      </c>
      <c r="BH17" s="51">
        <v>0</v>
      </c>
      <c r="BI17" s="51">
        <v>0</v>
      </c>
      <c r="BJ17" s="51">
        <v>1</v>
      </c>
      <c r="BK17" s="51" t="s">
        <v>177</v>
      </c>
      <c r="BL17" s="51" t="s">
        <v>178</v>
      </c>
      <c r="BM17" s="51">
        <v>0</v>
      </c>
      <c r="BN17" s="51" t="s">
        <v>204</v>
      </c>
      <c r="BO17" s="51" t="s">
        <v>205</v>
      </c>
      <c r="BP17" s="51" t="s">
        <v>206</v>
      </c>
      <c r="BQ17" s="51" t="s">
        <v>154</v>
      </c>
      <c r="BR17" s="51">
        <v>22191</v>
      </c>
      <c r="BS17" s="51">
        <v>4</v>
      </c>
      <c r="BT17" s="51">
        <v>1</v>
      </c>
      <c r="BU17" s="51">
        <v>4</v>
      </c>
      <c r="BV17" s="51">
        <v>0</v>
      </c>
      <c r="BW17" s="51">
        <v>0</v>
      </c>
      <c r="BX17" s="51">
        <v>1</v>
      </c>
      <c r="BY17" s="51">
        <v>1</v>
      </c>
      <c r="BZ17" s="51">
        <v>0</v>
      </c>
      <c r="CA17" s="51">
        <v>0</v>
      </c>
      <c r="CB17" s="51">
        <v>0</v>
      </c>
      <c r="CC17" s="51">
        <v>0</v>
      </c>
      <c r="CD17" s="51">
        <v>5</v>
      </c>
      <c r="CE17" s="51">
        <v>0</v>
      </c>
      <c r="CF17" s="51"/>
      <c r="CG17" s="51"/>
      <c r="CH17" s="51">
        <v>0</v>
      </c>
      <c r="CI17" s="51">
        <v>5</v>
      </c>
      <c r="CJ17" s="51">
        <v>5</v>
      </c>
      <c r="CK17" s="52">
        <v>45422</v>
      </c>
      <c r="CL17" s="51" t="s">
        <v>207</v>
      </c>
      <c r="CM17" s="51"/>
      <c r="CN17" s="51" t="s">
        <v>12</v>
      </c>
      <c r="CO17" s="51"/>
      <c r="CP17" s="51">
        <v>2</v>
      </c>
    </row>
    <row r="18" spans="1:94" x14ac:dyDescent="0.25">
      <c r="A18" s="51">
        <v>17</v>
      </c>
      <c r="B18" s="51" t="s">
        <v>154</v>
      </c>
      <c r="C18" s="51" t="s">
        <v>155</v>
      </c>
      <c r="D18" s="51" t="s">
        <v>156</v>
      </c>
      <c r="E18" s="51" t="s">
        <v>157</v>
      </c>
      <c r="F18" s="51">
        <v>2024</v>
      </c>
      <c r="G18" s="51" t="s">
        <v>208</v>
      </c>
      <c r="H18" s="51">
        <v>78</v>
      </c>
      <c r="I18" s="51" t="s">
        <v>209</v>
      </c>
      <c r="J18" s="51"/>
      <c r="K18" s="51">
        <v>122</v>
      </c>
      <c r="L18" s="52">
        <v>45315</v>
      </c>
      <c r="M18" s="51" t="s">
        <v>4</v>
      </c>
      <c r="N18" s="51"/>
      <c r="O18" s="51" t="s">
        <v>161</v>
      </c>
      <c r="P18" s="51" t="s">
        <v>12</v>
      </c>
      <c r="Q18" s="51" t="s">
        <v>1</v>
      </c>
      <c r="R18" s="52">
        <v>44835</v>
      </c>
      <c r="S18" s="51" t="s">
        <v>0</v>
      </c>
      <c r="T18" s="52">
        <v>42278</v>
      </c>
      <c r="U18" s="51"/>
      <c r="V18" s="51">
        <v>0</v>
      </c>
      <c r="W18" s="51">
        <v>0</v>
      </c>
      <c r="X18" s="51">
        <v>0</v>
      </c>
      <c r="Y18" s="51">
        <v>0</v>
      </c>
      <c r="Z18" s="51">
        <v>0</v>
      </c>
      <c r="AA18" s="51">
        <v>0</v>
      </c>
      <c r="AB18" s="51">
        <v>0</v>
      </c>
      <c r="AC18" s="51">
        <v>0</v>
      </c>
      <c r="AD18" s="51">
        <v>0</v>
      </c>
      <c r="AE18" s="51">
        <v>0</v>
      </c>
      <c r="AF18" s="51">
        <v>0</v>
      </c>
      <c r="AG18" s="51">
        <v>0</v>
      </c>
      <c r="AH18" s="51">
        <v>0</v>
      </c>
      <c r="AI18" s="51">
        <v>0</v>
      </c>
      <c r="AJ18" s="51">
        <v>0</v>
      </c>
      <c r="AK18" s="51">
        <v>0</v>
      </c>
      <c r="AL18" s="51">
        <v>0</v>
      </c>
      <c r="AM18" s="51">
        <v>0</v>
      </c>
      <c r="AN18" s="51">
        <v>1</v>
      </c>
      <c r="AO18" s="51">
        <v>0</v>
      </c>
      <c r="AP18" s="51">
        <v>0</v>
      </c>
      <c r="AQ18" s="51">
        <v>0</v>
      </c>
      <c r="AR18" s="51">
        <v>0</v>
      </c>
      <c r="AS18" s="51">
        <v>0</v>
      </c>
      <c r="AT18" s="51">
        <v>0</v>
      </c>
      <c r="AU18" s="51">
        <v>0</v>
      </c>
      <c r="AV18" s="51">
        <v>0</v>
      </c>
      <c r="AW18" s="51">
        <v>0</v>
      </c>
      <c r="AX18" s="51">
        <v>0</v>
      </c>
      <c r="AY18" s="51">
        <v>0</v>
      </c>
      <c r="AZ18" s="51">
        <v>0</v>
      </c>
      <c r="BA18" s="51">
        <v>0</v>
      </c>
      <c r="BB18" s="51">
        <v>0</v>
      </c>
      <c r="BC18" s="51">
        <v>0</v>
      </c>
      <c r="BD18" s="51">
        <v>0</v>
      </c>
      <c r="BE18" s="51">
        <v>0</v>
      </c>
      <c r="BF18" s="51">
        <v>0</v>
      </c>
      <c r="BG18" s="51">
        <v>0</v>
      </c>
      <c r="BH18" s="51">
        <v>0</v>
      </c>
      <c r="BI18" s="51">
        <v>0</v>
      </c>
      <c r="BJ18" s="51">
        <v>0</v>
      </c>
      <c r="BK18" s="51"/>
      <c r="BL18" s="51" t="s">
        <v>178</v>
      </c>
      <c r="BM18" s="51">
        <v>0</v>
      </c>
      <c r="BN18" s="51" t="s">
        <v>210</v>
      </c>
      <c r="BO18" s="51"/>
      <c r="BP18" s="51" t="s">
        <v>206</v>
      </c>
      <c r="BQ18" s="51" t="s">
        <v>154</v>
      </c>
      <c r="BR18" s="51">
        <v>22310</v>
      </c>
      <c r="BS18" s="51">
        <v>3</v>
      </c>
      <c r="BT18" s="51">
        <v>1</v>
      </c>
      <c r="BU18" s="51">
        <v>3</v>
      </c>
      <c r="BV18" s="51">
        <v>0</v>
      </c>
      <c r="BW18" s="51">
        <v>0</v>
      </c>
      <c r="BX18" s="51">
        <v>3</v>
      </c>
      <c r="BY18" s="51">
        <v>3</v>
      </c>
      <c r="BZ18" s="51">
        <v>0</v>
      </c>
      <c r="CA18" s="51">
        <v>0</v>
      </c>
      <c r="CB18" s="51">
        <v>0</v>
      </c>
      <c r="CC18" s="51">
        <v>0</v>
      </c>
      <c r="CD18" s="51">
        <v>6</v>
      </c>
      <c r="CE18" s="51">
        <v>0</v>
      </c>
      <c r="CF18" s="51"/>
      <c r="CG18" s="51"/>
      <c r="CH18" s="51">
        <v>0</v>
      </c>
      <c r="CI18" s="51">
        <v>6</v>
      </c>
      <c r="CJ18" s="51">
        <v>6</v>
      </c>
      <c r="CK18" s="52">
        <v>45422</v>
      </c>
      <c r="CL18" s="51" t="s">
        <v>211</v>
      </c>
      <c r="CM18" s="51"/>
      <c r="CN18" s="51" t="s">
        <v>12</v>
      </c>
      <c r="CO18" s="51"/>
      <c r="CP18" s="51">
        <v>2</v>
      </c>
    </row>
    <row r="19" spans="1:94" x14ac:dyDescent="0.25">
      <c r="A19" s="51">
        <v>18</v>
      </c>
      <c r="B19" s="51" t="s">
        <v>154</v>
      </c>
      <c r="C19" s="51" t="s">
        <v>155</v>
      </c>
      <c r="D19" s="51" t="s">
        <v>156</v>
      </c>
      <c r="E19" s="51" t="s">
        <v>157</v>
      </c>
      <c r="F19" s="51">
        <v>2024</v>
      </c>
      <c r="G19" s="51" t="s">
        <v>212</v>
      </c>
      <c r="H19" s="51">
        <v>129</v>
      </c>
      <c r="I19" s="51" t="s">
        <v>213</v>
      </c>
      <c r="J19" s="51"/>
      <c r="K19" s="51">
        <v>130</v>
      </c>
      <c r="L19" s="52">
        <v>45315</v>
      </c>
      <c r="M19" s="51" t="s">
        <v>5</v>
      </c>
      <c r="N19" s="51"/>
      <c r="O19" s="51" t="s">
        <v>161</v>
      </c>
      <c r="P19" s="51" t="s">
        <v>9</v>
      </c>
      <c r="Q19" s="51" t="s">
        <v>1</v>
      </c>
      <c r="R19" s="52">
        <v>43770</v>
      </c>
      <c r="S19" s="51" t="s">
        <v>0</v>
      </c>
      <c r="T19" s="52">
        <v>43770</v>
      </c>
      <c r="U19" s="51"/>
      <c r="V19" s="51">
        <v>0</v>
      </c>
      <c r="W19" s="51">
        <v>0</v>
      </c>
      <c r="X19" s="51">
        <v>0</v>
      </c>
      <c r="Y19" s="51">
        <v>0</v>
      </c>
      <c r="Z19" s="51">
        <v>0</v>
      </c>
      <c r="AA19" s="51">
        <v>0</v>
      </c>
      <c r="AB19" s="51">
        <v>1</v>
      </c>
      <c r="AC19" s="51">
        <v>0</v>
      </c>
      <c r="AD19" s="51">
        <v>0</v>
      </c>
      <c r="AE19" s="51">
        <v>0</v>
      </c>
      <c r="AF19" s="51">
        <v>0</v>
      </c>
      <c r="AG19" s="51">
        <v>0</v>
      </c>
      <c r="AH19" s="51">
        <v>0</v>
      </c>
      <c r="AI19" s="51">
        <v>0</v>
      </c>
      <c r="AJ19" s="51">
        <v>0</v>
      </c>
      <c r="AK19" s="51">
        <v>0</v>
      </c>
      <c r="AL19" s="51">
        <v>0</v>
      </c>
      <c r="AM19" s="51">
        <v>0</v>
      </c>
      <c r="AN19" s="51">
        <v>0</v>
      </c>
      <c r="AO19" s="51">
        <v>0</v>
      </c>
      <c r="AP19" s="51">
        <v>0</v>
      </c>
      <c r="AQ19" s="51">
        <v>0</v>
      </c>
      <c r="AR19" s="51">
        <v>0</v>
      </c>
      <c r="AS19" s="51">
        <v>0</v>
      </c>
      <c r="AT19" s="51">
        <v>0</v>
      </c>
      <c r="AU19" s="51">
        <v>0</v>
      </c>
      <c r="AV19" s="51">
        <v>0</v>
      </c>
      <c r="AW19" s="51">
        <v>0</v>
      </c>
      <c r="AX19" s="51">
        <v>0</v>
      </c>
      <c r="AY19" s="51">
        <v>0</v>
      </c>
      <c r="AZ19" s="51">
        <v>0</v>
      </c>
      <c r="BA19" s="51">
        <v>0</v>
      </c>
      <c r="BB19" s="51">
        <v>0</v>
      </c>
      <c r="BC19" s="51">
        <v>0</v>
      </c>
      <c r="BD19" s="51">
        <v>0</v>
      </c>
      <c r="BE19" s="51">
        <v>0</v>
      </c>
      <c r="BF19" s="51">
        <v>0</v>
      </c>
      <c r="BG19" s="51">
        <v>0</v>
      </c>
      <c r="BH19" s="51">
        <v>0</v>
      </c>
      <c r="BI19" s="51">
        <v>0</v>
      </c>
      <c r="BJ19" s="51">
        <v>0</v>
      </c>
      <c r="BK19" s="51"/>
      <c r="BL19" s="51" t="s">
        <v>178</v>
      </c>
      <c r="BM19" s="51">
        <v>0</v>
      </c>
      <c r="BN19" s="51" t="s">
        <v>214</v>
      </c>
      <c r="BO19" s="51"/>
      <c r="BP19" s="51" t="s">
        <v>215</v>
      </c>
      <c r="BQ19" s="51" t="s">
        <v>154</v>
      </c>
      <c r="BR19" s="51">
        <v>22030</v>
      </c>
      <c r="BS19" s="51">
        <v>0</v>
      </c>
      <c r="BT19" s="51">
        <v>0</v>
      </c>
      <c r="BU19" s="51">
        <v>0</v>
      </c>
      <c r="BV19" s="51">
        <v>0</v>
      </c>
      <c r="BW19" s="51">
        <v>0</v>
      </c>
      <c r="BX19" s="51">
        <v>4</v>
      </c>
      <c r="BY19" s="51">
        <v>0</v>
      </c>
      <c r="BZ19" s="51">
        <v>0</v>
      </c>
      <c r="CA19" s="51">
        <v>4</v>
      </c>
      <c r="CB19" s="51">
        <v>0</v>
      </c>
      <c r="CC19" s="51">
        <v>0</v>
      </c>
      <c r="CD19" s="51">
        <v>4</v>
      </c>
      <c r="CE19" s="51">
        <v>0</v>
      </c>
      <c r="CF19" s="51"/>
      <c r="CG19" s="51"/>
      <c r="CH19" s="51">
        <v>0</v>
      </c>
      <c r="CI19" s="51">
        <v>4</v>
      </c>
      <c r="CJ19" s="51">
        <v>4</v>
      </c>
      <c r="CK19" s="52">
        <v>45422</v>
      </c>
      <c r="CL19" s="51"/>
      <c r="CM19" s="51"/>
      <c r="CN19" s="51" t="s">
        <v>12</v>
      </c>
      <c r="CO19" s="51"/>
      <c r="CP19" s="51">
        <v>2</v>
      </c>
    </row>
    <row r="20" spans="1:94" x14ac:dyDescent="0.25">
      <c r="A20" s="51">
        <v>19</v>
      </c>
      <c r="B20" s="51" t="s">
        <v>154</v>
      </c>
      <c r="C20" s="51" t="s">
        <v>155</v>
      </c>
      <c r="D20" s="51" t="s">
        <v>156</v>
      </c>
      <c r="E20" s="51" t="s">
        <v>157</v>
      </c>
      <c r="F20" s="51">
        <v>2024</v>
      </c>
      <c r="G20" s="51" t="s">
        <v>216</v>
      </c>
      <c r="H20" s="51">
        <v>141</v>
      </c>
      <c r="I20" s="51" t="s">
        <v>217</v>
      </c>
      <c r="J20" s="51"/>
      <c r="K20" s="51">
        <v>142</v>
      </c>
      <c r="L20" s="52">
        <v>45315</v>
      </c>
      <c r="M20" s="51" t="s">
        <v>3</v>
      </c>
      <c r="N20" s="51" t="s">
        <v>218</v>
      </c>
      <c r="O20" s="51" t="s">
        <v>161</v>
      </c>
      <c r="P20" s="51" t="s">
        <v>9</v>
      </c>
      <c r="Q20" s="51" t="s">
        <v>1</v>
      </c>
      <c r="R20" s="52">
        <v>45231</v>
      </c>
      <c r="S20" s="51" t="s">
        <v>0</v>
      </c>
      <c r="T20" s="52">
        <v>42644</v>
      </c>
      <c r="U20" s="51"/>
      <c r="V20" s="51">
        <v>0</v>
      </c>
      <c r="W20" s="51">
        <v>0</v>
      </c>
      <c r="X20" s="51">
        <v>0</v>
      </c>
      <c r="Y20" s="51">
        <v>0</v>
      </c>
      <c r="Z20" s="51">
        <v>0</v>
      </c>
      <c r="AA20" s="51">
        <v>0</v>
      </c>
      <c r="AB20" s="51">
        <v>0</v>
      </c>
      <c r="AC20" s="51">
        <v>0</v>
      </c>
      <c r="AD20" s="51">
        <v>0</v>
      </c>
      <c r="AE20" s="51">
        <v>0</v>
      </c>
      <c r="AF20" s="51">
        <v>0</v>
      </c>
      <c r="AG20" s="51">
        <v>0</v>
      </c>
      <c r="AH20" s="51">
        <v>0</v>
      </c>
      <c r="AI20" s="51">
        <v>0</v>
      </c>
      <c r="AJ20" s="51">
        <v>0</v>
      </c>
      <c r="AK20" s="51">
        <v>0</v>
      </c>
      <c r="AL20" s="51">
        <v>0</v>
      </c>
      <c r="AM20" s="51">
        <v>0</v>
      </c>
      <c r="AN20" s="51">
        <v>0</v>
      </c>
      <c r="AO20" s="51">
        <v>0</v>
      </c>
      <c r="AP20" s="51">
        <v>0</v>
      </c>
      <c r="AQ20" s="51">
        <v>0</v>
      </c>
      <c r="AR20" s="51">
        <v>0</v>
      </c>
      <c r="AS20" s="51">
        <v>0</v>
      </c>
      <c r="AT20" s="51">
        <v>0</v>
      </c>
      <c r="AU20" s="51">
        <v>0</v>
      </c>
      <c r="AV20" s="51">
        <v>0</v>
      </c>
      <c r="AW20" s="51">
        <v>0</v>
      </c>
      <c r="AX20" s="51">
        <v>0</v>
      </c>
      <c r="AY20" s="51">
        <v>0</v>
      </c>
      <c r="AZ20" s="51">
        <v>0</v>
      </c>
      <c r="BA20" s="51">
        <v>0</v>
      </c>
      <c r="BB20" s="51">
        <v>0</v>
      </c>
      <c r="BC20" s="51">
        <v>0</v>
      </c>
      <c r="BD20" s="51">
        <v>0</v>
      </c>
      <c r="BE20" s="51">
        <v>0</v>
      </c>
      <c r="BF20" s="51">
        <v>0</v>
      </c>
      <c r="BG20" s="51">
        <v>0</v>
      </c>
      <c r="BH20" s="51">
        <v>0</v>
      </c>
      <c r="BI20" s="51">
        <v>0</v>
      </c>
      <c r="BJ20" s="51">
        <v>1</v>
      </c>
      <c r="BK20" s="51" t="s">
        <v>219</v>
      </c>
      <c r="BL20" s="51" t="s">
        <v>163</v>
      </c>
      <c r="BM20" s="51">
        <v>0</v>
      </c>
      <c r="BN20" s="51" t="s">
        <v>220</v>
      </c>
      <c r="BO20" s="51"/>
      <c r="BP20" s="51" t="s">
        <v>165</v>
      </c>
      <c r="BQ20" s="51" t="s">
        <v>154</v>
      </c>
      <c r="BR20" s="51">
        <v>20110</v>
      </c>
      <c r="BS20" s="51">
        <v>0</v>
      </c>
      <c r="BT20" s="51">
        <v>0</v>
      </c>
      <c r="BU20" s="51">
        <v>0</v>
      </c>
      <c r="BV20" s="51">
        <v>0</v>
      </c>
      <c r="BW20" s="51">
        <v>0</v>
      </c>
      <c r="BX20" s="51">
        <v>0</v>
      </c>
      <c r="BY20" s="51">
        <v>0</v>
      </c>
      <c r="BZ20" s="51">
        <v>0</v>
      </c>
      <c r="CA20" s="51">
        <v>0</v>
      </c>
      <c r="CB20" s="51">
        <v>0</v>
      </c>
      <c r="CC20" s="51">
        <v>0</v>
      </c>
      <c r="CD20" s="51">
        <v>0</v>
      </c>
      <c r="CE20" s="51">
        <v>22</v>
      </c>
      <c r="CF20" s="52">
        <v>45231</v>
      </c>
      <c r="CG20" s="52">
        <v>45383</v>
      </c>
      <c r="CH20" s="51">
        <v>0</v>
      </c>
      <c r="CI20" s="51">
        <v>19</v>
      </c>
      <c r="CJ20" s="51">
        <v>22</v>
      </c>
      <c r="CK20" s="52">
        <v>45422</v>
      </c>
      <c r="CL20" s="51" t="s">
        <v>221</v>
      </c>
      <c r="CM20" s="51"/>
      <c r="CN20" s="51" t="s">
        <v>12</v>
      </c>
      <c r="CO20" s="51"/>
      <c r="CP20" s="51">
        <v>2</v>
      </c>
    </row>
    <row r="21" spans="1:94" x14ac:dyDescent="0.25">
      <c r="A21" s="51">
        <v>20</v>
      </c>
      <c r="B21" s="51" t="s">
        <v>154</v>
      </c>
      <c r="C21" s="51" t="s">
        <v>155</v>
      </c>
      <c r="D21" s="51" t="s">
        <v>156</v>
      </c>
      <c r="E21" s="51" t="s">
        <v>157</v>
      </c>
      <c r="F21" s="51">
        <v>2024</v>
      </c>
      <c r="G21" s="51" t="s">
        <v>222</v>
      </c>
      <c r="H21" s="51">
        <v>68</v>
      </c>
      <c r="I21" s="51" t="s">
        <v>223</v>
      </c>
      <c r="J21" s="51"/>
      <c r="K21" s="51">
        <v>144</v>
      </c>
      <c r="L21" s="52">
        <v>45315</v>
      </c>
      <c r="M21" s="51" t="s">
        <v>4</v>
      </c>
      <c r="N21" s="51"/>
      <c r="O21" s="51" t="s">
        <v>161</v>
      </c>
      <c r="P21" s="51" t="s">
        <v>12</v>
      </c>
      <c r="Q21" s="51" t="s">
        <v>1</v>
      </c>
      <c r="R21" s="52">
        <v>44835</v>
      </c>
      <c r="S21" s="51" t="s">
        <v>0</v>
      </c>
      <c r="T21" s="52">
        <v>43374</v>
      </c>
      <c r="U21" s="51"/>
      <c r="V21" s="51">
        <v>0</v>
      </c>
      <c r="W21" s="51">
        <v>0</v>
      </c>
      <c r="X21" s="51">
        <v>0</v>
      </c>
      <c r="Y21" s="51">
        <v>0</v>
      </c>
      <c r="Z21" s="51">
        <v>0</v>
      </c>
      <c r="AA21" s="51">
        <v>0</v>
      </c>
      <c r="AB21" s="51">
        <v>0</v>
      </c>
      <c r="AC21" s="51">
        <v>0</v>
      </c>
      <c r="AD21" s="51">
        <v>0</v>
      </c>
      <c r="AE21" s="51">
        <v>0</v>
      </c>
      <c r="AF21" s="51">
        <v>0</v>
      </c>
      <c r="AG21" s="51">
        <v>0</v>
      </c>
      <c r="AH21" s="51">
        <v>0</v>
      </c>
      <c r="AI21" s="51">
        <v>0</v>
      </c>
      <c r="AJ21" s="51">
        <v>0</v>
      </c>
      <c r="AK21" s="51">
        <v>0</v>
      </c>
      <c r="AL21" s="51">
        <v>0</v>
      </c>
      <c r="AM21" s="51">
        <v>0</v>
      </c>
      <c r="AN21" s="51">
        <v>1</v>
      </c>
      <c r="AO21" s="51">
        <v>0</v>
      </c>
      <c r="AP21" s="51">
        <v>0</v>
      </c>
      <c r="AQ21" s="51">
        <v>0</v>
      </c>
      <c r="AR21" s="51">
        <v>0</v>
      </c>
      <c r="AS21" s="51">
        <v>0</v>
      </c>
      <c r="AT21" s="51">
        <v>0</v>
      </c>
      <c r="AU21" s="51">
        <v>0</v>
      </c>
      <c r="AV21" s="51">
        <v>0</v>
      </c>
      <c r="AW21" s="51">
        <v>0</v>
      </c>
      <c r="AX21" s="51">
        <v>0</v>
      </c>
      <c r="AY21" s="51">
        <v>0</v>
      </c>
      <c r="AZ21" s="51">
        <v>0</v>
      </c>
      <c r="BA21" s="51">
        <v>0</v>
      </c>
      <c r="BB21" s="51">
        <v>0</v>
      </c>
      <c r="BC21" s="51">
        <v>0</v>
      </c>
      <c r="BD21" s="51">
        <v>0</v>
      </c>
      <c r="BE21" s="51">
        <v>0</v>
      </c>
      <c r="BF21" s="51">
        <v>0</v>
      </c>
      <c r="BG21" s="51">
        <v>0</v>
      </c>
      <c r="BH21" s="51">
        <v>0</v>
      </c>
      <c r="BI21" s="51">
        <v>0</v>
      </c>
      <c r="BJ21" s="51">
        <v>0</v>
      </c>
      <c r="BK21" s="51"/>
      <c r="BL21" s="51" t="s">
        <v>178</v>
      </c>
      <c r="BM21" s="51">
        <v>0</v>
      </c>
      <c r="BN21" s="51" t="s">
        <v>224</v>
      </c>
      <c r="BO21" s="51"/>
      <c r="BP21" s="51" t="s">
        <v>206</v>
      </c>
      <c r="BQ21" s="51" t="s">
        <v>154</v>
      </c>
      <c r="BR21" s="51">
        <v>22314</v>
      </c>
      <c r="BS21" s="51">
        <v>0</v>
      </c>
      <c r="BT21" s="51">
        <v>0</v>
      </c>
      <c r="BU21" s="51">
        <v>0</v>
      </c>
      <c r="BV21" s="51">
        <v>0</v>
      </c>
      <c r="BW21" s="51">
        <v>0</v>
      </c>
      <c r="BX21" s="51">
        <v>10</v>
      </c>
      <c r="BY21" s="51">
        <v>10</v>
      </c>
      <c r="BZ21" s="51">
        <v>0</v>
      </c>
      <c r="CA21" s="51">
        <v>0</v>
      </c>
      <c r="CB21" s="51">
        <v>0</v>
      </c>
      <c r="CC21" s="51">
        <v>0</v>
      </c>
      <c r="CD21" s="51">
        <v>10</v>
      </c>
      <c r="CE21" s="51">
        <v>0</v>
      </c>
      <c r="CF21" s="51"/>
      <c r="CG21" s="51"/>
      <c r="CH21" s="51">
        <v>0</v>
      </c>
      <c r="CI21" s="51">
        <v>10</v>
      </c>
      <c r="CJ21" s="51">
        <v>10</v>
      </c>
      <c r="CK21" s="52">
        <v>45422</v>
      </c>
      <c r="CL21" s="51" t="s">
        <v>211</v>
      </c>
      <c r="CM21" s="51"/>
      <c r="CN21" s="51" t="s">
        <v>12</v>
      </c>
      <c r="CO21" s="51"/>
      <c r="CP21" s="51">
        <v>2</v>
      </c>
    </row>
    <row r="22" spans="1:94" x14ac:dyDescent="0.25">
      <c r="A22" s="51">
        <v>21</v>
      </c>
      <c r="B22" s="51" t="s">
        <v>154</v>
      </c>
      <c r="C22" s="51" t="s">
        <v>155</v>
      </c>
      <c r="D22" s="51" t="s">
        <v>156</v>
      </c>
      <c r="E22" s="51" t="s">
        <v>157</v>
      </c>
      <c r="F22" s="51">
        <v>2024</v>
      </c>
      <c r="G22" s="51" t="s">
        <v>212</v>
      </c>
      <c r="H22" s="51">
        <v>129</v>
      </c>
      <c r="I22" s="51" t="s">
        <v>225</v>
      </c>
      <c r="J22" s="51"/>
      <c r="K22" s="51">
        <v>167</v>
      </c>
      <c r="L22" s="52">
        <v>45315</v>
      </c>
      <c r="M22" s="51" t="s">
        <v>5</v>
      </c>
      <c r="N22" s="51"/>
      <c r="O22" s="51" t="s">
        <v>161</v>
      </c>
      <c r="P22" s="51" t="s">
        <v>9</v>
      </c>
      <c r="Q22" s="51" t="s">
        <v>1</v>
      </c>
      <c r="R22" s="52">
        <v>45200</v>
      </c>
      <c r="S22" s="51" t="s">
        <v>0</v>
      </c>
      <c r="T22" s="52">
        <v>44105</v>
      </c>
      <c r="U22" s="51"/>
      <c r="V22" s="51">
        <v>0</v>
      </c>
      <c r="W22" s="51">
        <v>0</v>
      </c>
      <c r="X22" s="51">
        <v>0</v>
      </c>
      <c r="Y22" s="51">
        <v>0</v>
      </c>
      <c r="Z22" s="51">
        <v>0</v>
      </c>
      <c r="AA22" s="51">
        <v>0</v>
      </c>
      <c r="AB22" s="51">
        <v>1</v>
      </c>
      <c r="AC22" s="51">
        <v>0</v>
      </c>
      <c r="AD22" s="51">
        <v>0</v>
      </c>
      <c r="AE22" s="51">
        <v>0</v>
      </c>
      <c r="AF22" s="51">
        <v>0</v>
      </c>
      <c r="AG22" s="51">
        <v>0</v>
      </c>
      <c r="AH22" s="51">
        <v>0</v>
      </c>
      <c r="AI22" s="51">
        <v>0</v>
      </c>
      <c r="AJ22" s="51">
        <v>0</v>
      </c>
      <c r="AK22" s="51">
        <v>0</v>
      </c>
      <c r="AL22" s="51">
        <v>0</v>
      </c>
      <c r="AM22" s="51">
        <v>0</v>
      </c>
      <c r="AN22" s="51">
        <v>0</v>
      </c>
      <c r="AO22" s="51">
        <v>0</v>
      </c>
      <c r="AP22" s="51">
        <v>0</v>
      </c>
      <c r="AQ22" s="51">
        <v>0</v>
      </c>
      <c r="AR22" s="51">
        <v>0</v>
      </c>
      <c r="AS22" s="51">
        <v>0</v>
      </c>
      <c r="AT22" s="51">
        <v>0</v>
      </c>
      <c r="AU22" s="51">
        <v>0</v>
      </c>
      <c r="AV22" s="51">
        <v>0</v>
      </c>
      <c r="AW22" s="51">
        <v>0</v>
      </c>
      <c r="AX22" s="51">
        <v>0</v>
      </c>
      <c r="AY22" s="51">
        <v>0</v>
      </c>
      <c r="AZ22" s="51">
        <v>0</v>
      </c>
      <c r="BA22" s="51">
        <v>0</v>
      </c>
      <c r="BB22" s="51">
        <v>0</v>
      </c>
      <c r="BC22" s="51">
        <v>0</v>
      </c>
      <c r="BD22" s="51">
        <v>0</v>
      </c>
      <c r="BE22" s="51">
        <v>0</v>
      </c>
      <c r="BF22" s="51">
        <v>0</v>
      </c>
      <c r="BG22" s="51">
        <v>0</v>
      </c>
      <c r="BH22" s="51">
        <v>0</v>
      </c>
      <c r="BI22" s="51">
        <v>0</v>
      </c>
      <c r="BJ22" s="51">
        <v>0</v>
      </c>
      <c r="BK22" s="51"/>
      <c r="BL22" s="51" t="s">
        <v>178</v>
      </c>
      <c r="BM22" s="51">
        <v>0</v>
      </c>
      <c r="BN22" s="51" t="s">
        <v>214</v>
      </c>
      <c r="BO22" s="51"/>
      <c r="BP22" s="51" t="s">
        <v>215</v>
      </c>
      <c r="BQ22" s="51" t="s">
        <v>154</v>
      </c>
      <c r="BR22" s="51">
        <v>22030</v>
      </c>
      <c r="BS22" s="51">
        <v>0</v>
      </c>
      <c r="BT22" s="51">
        <v>0</v>
      </c>
      <c r="BU22" s="51">
        <v>0</v>
      </c>
      <c r="BV22" s="51">
        <v>0</v>
      </c>
      <c r="BW22" s="51">
        <v>0</v>
      </c>
      <c r="BX22" s="51">
        <v>11</v>
      </c>
      <c r="BY22" s="51">
        <v>0</v>
      </c>
      <c r="BZ22" s="51">
        <v>0</v>
      </c>
      <c r="CA22" s="51">
        <v>11</v>
      </c>
      <c r="CB22" s="51">
        <v>0</v>
      </c>
      <c r="CC22" s="51">
        <v>0</v>
      </c>
      <c r="CD22" s="51">
        <v>11</v>
      </c>
      <c r="CE22" s="51">
        <v>0</v>
      </c>
      <c r="CF22" s="51"/>
      <c r="CG22" s="51"/>
      <c r="CH22" s="51">
        <v>0</v>
      </c>
      <c r="CI22" s="51">
        <v>10</v>
      </c>
      <c r="CJ22" s="51">
        <v>11</v>
      </c>
      <c r="CK22" s="52">
        <v>45422</v>
      </c>
      <c r="CL22" s="51"/>
      <c r="CM22" s="51"/>
      <c r="CN22" s="51" t="s">
        <v>12</v>
      </c>
      <c r="CO22" s="51"/>
      <c r="CP22" s="51">
        <v>2</v>
      </c>
    </row>
    <row r="23" spans="1:94" x14ac:dyDescent="0.25">
      <c r="A23" s="51">
        <v>22</v>
      </c>
      <c r="B23" s="51" t="s">
        <v>154</v>
      </c>
      <c r="C23" s="51" t="s">
        <v>155</v>
      </c>
      <c r="D23" s="51" t="s">
        <v>156</v>
      </c>
      <c r="E23" s="51" t="s">
        <v>157</v>
      </c>
      <c r="F23" s="51">
        <v>2024</v>
      </c>
      <c r="G23" s="51" t="s">
        <v>186</v>
      </c>
      <c r="H23" s="51">
        <v>40</v>
      </c>
      <c r="I23" s="51" t="s">
        <v>226</v>
      </c>
      <c r="J23" s="51"/>
      <c r="K23" s="51">
        <v>170</v>
      </c>
      <c r="L23" s="52">
        <v>45315</v>
      </c>
      <c r="M23" s="51" t="s">
        <v>7</v>
      </c>
      <c r="N23" s="51"/>
      <c r="O23" s="51" t="s">
        <v>161</v>
      </c>
      <c r="P23" s="51" t="s">
        <v>9</v>
      </c>
      <c r="Q23" s="51" t="s">
        <v>1</v>
      </c>
      <c r="R23" s="52">
        <v>43739</v>
      </c>
      <c r="S23" s="51" t="s">
        <v>0</v>
      </c>
      <c r="T23" s="52">
        <v>43739</v>
      </c>
      <c r="U23" s="51"/>
      <c r="V23" s="51">
        <v>0</v>
      </c>
      <c r="W23" s="51">
        <v>0</v>
      </c>
      <c r="X23" s="51">
        <v>0</v>
      </c>
      <c r="Y23" s="51">
        <v>0</v>
      </c>
      <c r="Z23" s="51">
        <v>0</v>
      </c>
      <c r="AA23" s="51">
        <v>0</v>
      </c>
      <c r="AB23" s="51">
        <v>0</v>
      </c>
      <c r="AC23" s="51">
        <v>0</v>
      </c>
      <c r="AD23" s="51">
        <v>0</v>
      </c>
      <c r="AE23" s="51">
        <v>0</v>
      </c>
      <c r="AF23" s="51">
        <v>0</v>
      </c>
      <c r="AG23" s="51">
        <v>0</v>
      </c>
      <c r="AH23" s="51">
        <v>0</v>
      </c>
      <c r="AI23" s="51">
        <v>0</v>
      </c>
      <c r="AJ23" s="51">
        <v>0</v>
      </c>
      <c r="AK23" s="51">
        <v>0</v>
      </c>
      <c r="AL23" s="51">
        <v>0</v>
      </c>
      <c r="AM23" s="51">
        <v>0</v>
      </c>
      <c r="AN23" s="51">
        <v>0</v>
      </c>
      <c r="AO23" s="51">
        <v>0</v>
      </c>
      <c r="AP23" s="51">
        <v>0</v>
      </c>
      <c r="AQ23" s="51">
        <v>0</v>
      </c>
      <c r="AR23" s="51">
        <v>0</v>
      </c>
      <c r="AS23" s="51">
        <v>0</v>
      </c>
      <c r="AT23" s="51">
        <v>0</v>
      </c>
      <c r="AU23" s="51">
        <v>0</v>
      </c>
      <c r="AV23" s="51">
        <v>0</v>
      </c>
      <c r="AW23" s="51">
        <v>0</v>
      </c>
      <c r="AX23" s="51">
        <v>0</v>
      </c>
      <c r="AY23" s="51">
        <v>0</v>
      </c>
      <c r="AZ23" s="51">
        <v>0</v>
      </c>
      <c r="BA23" s="51">
        <v>0</v>
      </c>
      <c r="BB23" s="51">
        <v>0</v>
      </c>
      <c r="BC23" s="51">
        <v>0</v>
      </c>
      <c r="BD23" s="51">
        <v>0</v>
      </c>
      <c r="BE23" s="51">
        <v>0</v>
      </c>
      <c r="BF23" s="51">
        <v>0</v>
      </c>
      <c r="BG23" s="51">
        <v>0</v>
      </c>
      <c r="BH23" s="51">
        <v>0</v>
      </c>
      <c r="BI23" s="51">
        <v>0</v>
      </c>
      <c r="BJ23" s="51">
        <v>1</v>
      </c>
      <c r="BK23" s="51" t="s">
        <v>227</v>
      </c>
      <c r="BL23" s="51" t="s">
        <v>163</v>
      </c>
      <c r="BM23" s="51">
        <v>0</v>
      </c>
      <c r="BN23" s="51" t="s">
        <v>188</v>
      </c>
      <c r="BO23" s="51" t="s">
        <v>189</v>
      </c>
      <c r="BP23" s="51" t="s">
        <v>170</v>
      </c>
      <c r="BQ23" s="51" t="s">
        <v>154</v>
      </c>
      <c r="BR23" s="51">
        <v>22191</v>
      </c>
      <c r="BS23" s="51">
        <v>0</v>
      </c>
      <c r="BT23" s="51">
        <v>0</v>
      </c>
      <c r="BU23" s="51">
        <v>0</v>
      </c>
      <c r="BV23" s="51">
        <v>0</v>
      </c>
      <c r="BW23" s="51">
        <v>0</v>
      </c>
      <c r="BX23" s="51">
        <v>3</v>
      </c>
      <c r="BY23" s="51">
        <v>0</v>
      </c>
      <c r="BZ23" s="51">
        <v>0</v>
      </c>
      <c r="CA23" s="51">
        <v>0</v>
      </c>
      <c r="CB23" s="51">
        <v>0</v>
      </c>
      <c r="CC23" s="51">
        <v>0</v>
      </c>
      <c r="CD23" s="51">
        <v>3</v>
      </c>
      <c r="CE23" s="51">
        <v>0</v>
      </c>
      <c r="CF23" s="51"/>
      <c r="CG23" s="51"/>
      <c r="CH23" s="51">
        <v>0</v>
      </c>
      <c r="CI23" s="51">
        <v>3</v>
      </c>
      <c r="CJ23" s="51">
        <v>3</v>
      </c>
      <c r="CK23" s="52">
        <v>45422</v>
      </c>
      <c r="CL23" s="51" t="s">
        <v>228</v>
      </c>
      <c r="CM23" s="51"/>
      <c r="CN23" s="51" t="s">
        <v>12</v>
      </c>
      <c r="CO23" s="51"/>
      <c r="CP23" s="51">
        <v>2</v>
      </c>
    </row>
    <row r="24" spans="1:94" x14ac:dyDescent="0.25">
      <c r="A24" s="51">
        <v>23</v>
      </c>
      <c r="B24" s="51" t="s">
        <v>154</v>
      </c>
      <c r="C24" s="51" t="s">
        <v>155</v>
      </c>
      <c r="D24" s="51" t="s">
        <v>156</v>
      </c>
      <c r="E24" s="51" t="s">
        <v>157</v>
      </c>
      <c r="F24" s="51">
        <v>2024</v>
      </c>
      <c r="G24" s="51" t="s">
        <v>186</v>
      </c>
      <c r="H24" s="51">
        <v>40</v>
      </c>
      <c r="I24" s="51" t="s">
        <v>229</v>
      </c>
      <c r="J24" s="51"/>
      <c r="K24" s="51">
        <v>171</v>
      </c>
      <c r="L24" s="52">
        <v>45315</v>
      </c>
      <c r="M24" s="51" t="s">
        <v>7</v>
      </c>
      <c r="N24" s="51"/>
      <c r="O24" s="51" t="s">
        <v>161</v>
      </c>
      <c r="P24" s="51" t="s">
        <v>9</v>
      </c>
      <c r="Q24" s="51" t="s">
        <v>1</v>
      </c>
      <c r="R24" s="52">
        <v>43739</v>
      </c>
      <c r="S24" s="51" t="s">
        <v>0</v>
      </c>
      <c r="T24" s="52">
        <v>43739</v>
      </c>
      <c r="U24" s="51"/>
      <c r="V24" s="51">
        <v>0</v>
      </c>
      <c r="W24" s="51">
        <v>0</v>
      </c>
      <c r="X24" s="51">
        <v>0</v>
      </c>
      <c r="Y24" s="51">
        <v>0</v>
      </c>
      <c r="Z24" s="51">
        <v>0</v>
      </c>
      <c r="AA24" s="51">
        <v>0</v>
      </c>
      <c r="AB24" s="51">
        <v>0</v>
      </c>
      <c r="AC24" s="51">
        <v>0</v>
      </c>
      <c r="AD24" s="51">
        <v>0</v>
      </c>
      <c r="AE24" s="51">
        <v>0</v>
      </c>
      <c r="AF24" s="51">
        <v>0</v>
      </c>
      <c r="AG24" s="51">
        <v>0</v>
      </c>
      <c r="AH24" s="51">
        <v>0</v>
      </c>
      <c r="AI24" s="51">
        <v>0</v>
      </c>
      <c r="AJ24" s="51">
        <v>0</v>
      </c>
      <c r="AK24" s="51">
        <v>0</v>
      </c>
      <c r="AL24" s="51">
        <v>0</v>
      </c>
      <c r="AM24" s="51">
        <v>0</v>
      </c>
      <c r="AN24" s="51">
        <v>0</v>
      </c>
      <c r="AO24" s="51">
        <v>0</v>
      </c>
      <c r="AP24" s="51">
        <v>0</v>
      </c>
      <c r="AQ24" s="51">
        <v>0</v>
      </c>
      <c r="AR24" s="51">
        <v>0</v>
      </c>
      <c r="AS24" s="51">
        <v>0</v>
      </c>
      <c r="AT24" s="51">
        <v>0</v>
      </c>
      <c r="AU24" s="51">
        <v>0</v>
      </c>
      <c r="AV24" s="51">
        <v>0</v>
      </c>
      <c r="AW24" s="51">
        <v>0</v>
      </c>
      <c r="AX24" s="51">
        <v>0</v>
      </c>
      <c r="AY24" s="51">
        <v>0</v>
      </c>
      <c r="AZ24" s="51">
        <v>0</v>
      </c>
      <c r="BA24" s="51">
        <v>0</v>
      </c>
      <c r="BB24" s="51">
        <v>0</v>
      </c>
      <c r="BC24" s="51">
        <v>0</v>
      </c>
      <c r="BD24" s="51">
        <v>0</v>
      </c>
      <c r="BE24" s="51">
        <v>0</v>
      </c>
      <c r="BF24" s="51">
        <v>0</v>
      </c>
      <c r="BG24" s="51">
        <v>0</v>
      </c>
      <c r="BH24" s="51">
        <v>0</v>
      </c>
      <c r="BI24" s="51">
        <v>0</v>
      </c>
      <c r="BJ24" s="51">
        <v>1</v>
      </c>
      <c r="BK24" s="51" t="s">
        <v>227</v>
      </c>
      <c r="BL24" s="51" t="s">
        <v>181</v>
      </c>
      <c r="BM24" s="51">
        <v>0</v>
      </c>
      <c r="BN24" s="51" t="s">
        <v>188</v>
      </c>
      <c r="BO24" s="51" t="s">
        <v>189</v>
      </c>
      <c r="BP24" s="51" t="s">
        <v>170</v>
      </c>
      <c r="BQ24" s="51" t="s">
        <v>154</v>
      </c>
      <c r="BR24" s="51">
        <v>22191</v>
      </c>
      <c r="BS24" s="51">
        <v>0</v>
      </c>
      <c r="BT24" s="51">
        <v>0</v>
      </c>
      <c r="BU24" s="51">
        <v>0</v>
      </c>
      <c r="BV24" s="51">
        <v>0</v>
      </c>
      <c r="BW24" s="51">
        <v>0</v>
      </c>
      <c r="BX24" s="51">
        <v>6</v>
      </c>
      <c r="BY24" s="51">
        <v>0</v>
      </c>
      <c r="BZ24" s="51">
        <v>0</v>
      </c>
      <c r="CA24" s="51">
        <v>0</v>
      </c>
      <c r="CB24" s="51">
        <v>0</v>
      </c>
      <c r="CC24" s="51">
        <v>0</v>
      </c>
      <c r="CD24" s="51">
        <v>6</v>
      </c>
      <c r="CE24" s="51">
        <v>0</v>
      </c>
      <c r="CF24" s="51"/>
      <c r="CG24" s="51"/>
      <c r="CH24" s="51">
        <v>0</v>
      </c>
      <c r="CI24" s="51">
        <v>6</v>
      </c>
      <c r="CJ24" s="51">
        <v>6</v>
      </c>
      <c r="CK24" s="52">
        <v>45422</v>
      </c>
      <c r="CL24" s="51" t="s">
        <v>228</v>
      </c>
      <c r="CM24" s="51"/>
      <c r="CN24" s="51" t="s">
        <v>12</v>
      </c>
      <c r="CO24" s="51"/>
      <c r="CP24" s="51">
        <v>2</v>
      </c>
    </row>
    <row r="25" spans="1:94" x14ac:dyDescent="0.25">
      <c r="A25" s="51">
        <v>24</v>
      </c>
      <c r="B25" s="51" t="s">
        <v>154</v>
      </c>
      <c r="C25" s="51" t="s">
        <v>155</v>
      </c>
      <c r="D25" s="51" t="s">
        <v>156</v>
      </c>
      <c r="E25" s="51" t="s">
        <v>157</v>
      </c>
      <c r="F25" s="51">
        <v>2024</v>
      </c>
      <c r="G25" s="51" t="s">
        <v>167</v>
      </c>
      <c r="H25" s="51">
        <v>7</v>
      </c>
      <c r="I25" s="51" t="s">
        <v>230</v>
      </c>
      <c r="J25" s="51"/>
      <c r="K25" s="51">
        <v>174</v>
      </c>
      <c r="L25" s="52">
        <v>45315</v>
      </c>
      <c r="M25" s="51" t="s">
        <v>3</v>
      </c>
      <c r="N25" s="51" t="s">
        <v>218</v>
      </c>
      <c r="O25" s="51" t="s">
        <v>161</v>
      </c>
      <c r="P25" s="51" t="s">
        <v>9</v>
      </c>
      <c r="Q25" s="51" t="s">
        <v>1</v>
      </c>
      <c r="R25" s="52">
        <v>44105</v>
      </c>
      <c r="S25" s="51" t="s">
        <v>0</v>
      </c>
      <c r="T25" s="52">
        <v>44105</v>
      </c>
      <c r="U25" s="51"/>
      <c r="V25" s="51">
        <v>1</v>
      </c>
      <c r="W25" s="51">
        <v>0</v>
      </c>
      <c r="X25" s="51">
        <v>0</v>
      </c>
      <c r="Y25" s="51">
        <v>0</v>
      </c>
      <c r="Z25" s="51">
        <v>0</v>
      </c>
      <c r="AA25" s="51">
        <v>0</v>
      </c>
      <c r="AB25" s="51">
        <v>0</v>
      </c>
      <c r="AC25" s="51">
        <v>0</v>
      </c>
      <c r="AD25" s="51">
        <v>0</v>
      </c>
      <c r="AE25" s="51">
        <v>0</v>
      </c>
      <c r="AF25" s="51">
        <v>0</v>
      </c>
      <c r="AG25" s="51">
        <v>0</v>
      </c>
      <c r="AH25" s="51">
        <v>0</v>
      </c>
      <c r="AI25" s="51">
        <v>0</v>
      </c>
      <c r="AJ25" s="51">
        <v>0</v>
      </c>
      <c r="AK25" s="51">
        <v>0</v>
      </c>
      <c r="AL25" s="51">
        <v>0</v>
      </c>
      <c r="AM25" s="51">
        <v>0</v>
      </c>
      <c r="AN25" s="51">
        <v>0</v>
      </c>
      <c r="AO25" s="51">
        <v>0</v>
      </c>
      <c r="AP25" s="51">
        <v>0</v>
      </c>
      <c r="AQ25" s="51">
        <v>0</v>
      </c>
      <c r="AR25" s="51">
        <v>0</v>
      </c>
      <c r="AS25" s="51">
        <v>0</v>
      </c>
      <c r="AT25" s="51">
        <v>0</v>
      </c>
      <c r="AU25" s="51">
        <v>0</v>
      </c>
      <c r="AV25" s="51">
        <v>0</v>
      </c>
      <c r="AW25" s="51">
        <v>0</v>
      </c>
      <c r="AX25" s="51">
        <v>0</v>
      </c>
      <c r="AY25" s="51">
        <v>0</v>
      </c>
      <c r="AZ25" s="51">
        <v>0</v>
      </c>
      <c r="BA25" s="51">
        <v>0</v>
      </c>
      <c r="BB25" s="51">
        <v>0</v>
      </c>
      <c r="BC25" s="51">
        <v>0</v>
      </c>
      <c r="BD25" s="51">
        <v>0</v>
      </c>
      <c r="BE25" s="51">
        <v>0</v>
      </c>
      <c r="BF25" s="51">
        <v>0</v>
      </c>
      <c r="BG25" s="51">
        <v>0</v>
      </c>
      <c r="BH25" s="51">
        <v>0</v>
      </c>
      <c r="BI25" s="51">
        <v>0</v>
      </c>
      <c r="BJ25" s="51">
        <v>0</v>
      </c>
      <c r="BK25" s="51"/>
      <c r="BL25" s="51" t="s">
        <v>163</v>
      </c>
      <c r="BM25" s="51">
        <v>0</v>
      </c>
      <c r="BN25" s="51" t="s">
        <v>231</v>
      </c>
      <c r="BO25" s="51"/>
      <c r="BP25" s="51" t="s">
        <v>170</v>
      </c>
      <c r="BQ25" s="51" t="s">
        <v>154</v>
      </c>
      <c r="BR25" s="51">
        <v>22191</v>
      </c>
      <c r="BS25" s="51">
        <v>0</v>
      </c>
      <c r="BT25" s="51">
        <v>0</v>
      </c>
      <c r="BU25" s="51">
        <v>0</v>
      </c>
      <c r="BV25" s="51">
        <v>0</v>
      </c>
      <c r="BW25" s="51">
        <v>0</v>
      </c>
      <c r="BX25" s="51">
        <v>48</v>
      </c>
      <c r="BY25" s="51">
        <v>0</v>
      </c>
      <c r="BZ25" s="51">
        <v>0</v>
      </c>
      <c r="CA25" s="51">
        <v>0</v>
      </c>
      <c r="CB25" s="51">
        <v>0</v>
      </c>
      <c r="CC25" s="51">
        <v>0</v>
      </c>
      <c r="CD25" s="51">
        <v>48</v>
      </c>
      <c r="CE25" s="51">
        <v>0</v>
      </c>
      <c r="CF25" s="51"/>
      <c r="CG25" s="51"/>
      <c r="CH25" s="51">
        <v>2</v>
      </c>
      <c r="CI25" s="51">
        <v>43</v>
      </c>
      <c r="CJ25" s="51">
        <v>50</v>
      </c>
      <c r="CK25" s="52">
        <v>45422</v>
      </c>
      <c r="CL25" s="51" t="s">
        <v>232</v>
      </c>
      <c r="CM25" s="51"/>
      <c r="CN25" s="51" t="s">
        <v>12</v>
      </c>
      <c r="CO25" s="51"/>
      <c r="CP25" s="51">
        <v>2</v>
      </c>
    </row>
    <row r="26" spans="1:94" x14ac:dyDescent="0.25">
      <c r="A26" s="51">
        <v>25</v>
      </c>
      <c r="B26" s="51" t="s">
        <v>154</v>
      </c>
      <c r="C26" s="51" t="s">
        <v>155</v>
      </c>
      <c r="D26" s="51" t="s">
        <v>156</v>
      </c>
      <c r="E26" s="51" t="s">
        <v>157</v>
      </c>
      <c r="F26" s="51">
        <v>2024</v>
      </c>
      <c r="G26" s="51" t="s">
        <v>167</v>
      </c>
      <c r="H26" s="51">
        <v>7</v>
      </c>
      <c r="I26" s="51" t="s">
        <v>233</v>
      </c>
      <c r="J26" s="51"/>
      <c r="K26" s="51">
        <v>175</v>
      </c>
      <c r="L26" s="52">
        <v>45315</v>
      </c>
      <c r="M26" s="51" t="s">
        <v>3</v>
      </c>
      <c r="N26" s="51" t="s">
        <v>160</v>
      </c>
      <c r="O26" s="51" t="s">
        <v>161</v>
      </c>
      <c r="P26" s="51" t="s">
        <v>9</v>
      </c>
      <c r="Q26" s="51" t="s">
        <v>1</v>
      </c>
      <c r="R26" s="52">
        <v>44256</v>
      </c>
      <c r="S26" s="51" t="s">
        <v>0</v>
      </c>
      <c r="T26" s="52">
        <v>44256</v>
      </c>
      <c r="U26" s="51"/>
      <c r="V26" s="51">
        <v>1</v>
      </c>
      <c r="W26" s="51">
        <v>0</v>
      </c>
      <c r="X26" s="51">
        <v>0</v>
      </c>
      <c r="Y26" s="51">
        <v>0</v>
      </c>
      <c r="Z26" s="51">
        <v>0</v>
      </c>
      <c r="AA26" s="51">
        <v>0</v>
      </c>
      <c r="AB26" s="51">
        <v>0</v>
      </c>
      <c r="AC26" s="51">
        <v>0</v>
      </c>
      <c r="AD26" s="51">
        <v>0</v>
      </c>
      <c r="AE26" s="51">
        <v>0</v>
      </c>
      <c r="AF26" s="51">
        <v>0</v>
      </c>
      <c r="AG26" s="51">
        <v>0</v>
      </c>
      <c r="AH26" s="51">
        <v>0</v>
      </c>
      <c r="AI26" s="51">
        <v>0</v>
      </c>
      <c r="AJ26" s="51">
        <v>0</v>
      </c>
      <c r="AK26" s="51">
        <v>0</v>
      </c>
      <c r="AL26" s="51">
        <v>0</v>
      </c>
      <c r="AM26" s="51">
        <v>0</v>
      </c>
      <c r="AN26" s="51">
        <v>0</v>
      </c>
      <c r="AO26" s="51">
        <v>0</v>
      </c>
      <c r="AP26" s="51">
        <v>0</v>
      </c>
      <c r="AQ26" s="51">
        <v>0</v>
      </c>
      <c r="AR26" s="51">
        <v>0</v>
      </c>
      <c r="AS26" s="51">
        <v>0</v>
      </c>
      <c r="AT26" s="51">
        <v>0</v>
      </c>
      <c r="AU26" s="51">
        <v>0</v>
      </c>
      <c r="AV26" s="51">
        <v>0</v>
      </c>
      <c r="AW26" s="51">
        <v>0</v>
      </c>
      <c r="AX26" s="51">
        <v>0</v>
      </c>
      <c r="AY26" s="51">
        <v>0</v>
      </c>
      <c r="AZ26" s="51">
        <v>0</v>
      </c>
      <c r="BA26" s="51">
        <v>0</v>
      </c>
      <c r="BB26" s="51">
        <v>0</v>
      </c>
      <c r="BC26" s="51">
        <v>0</v>
      </c>
      <c r="BD26" s="51">
        <v>0</v>
      </c>
      <c r="BE26" s="51">
        <v>0</v>
      </c>
      <c r="BF26" s="51">
        <v>0</v>
      </c>
      <c r="BG26" s="51">
        <v>0</v>
      </c>
      <c r="BH26" s="51">
        <v>0</v>
      </c>
      <c r="BI26" s="51">
        <v>0</v>
      </c>
      <c r="BJ26" s="51">
        <v>1</v>
      </c>
      <c r="BK26" s="51" t="s">
        <v>219</v>
      </c>
      <c r="BL26" s="51" t="s">
        <v>163</v>
      </c>
      <c r="BM26" s="51">
        <v>0</v>
      </c>
      <c r="BN26" s="51" t="s">
        <v>234</v>
      </c>
      <c r="BO26" s="51"/>
      <c r="BP26" s="51" t="s">
        <v>170</v>
      </c>
      <c r="BQ26" s="51" t="s">
        <v>154</v>
      </c>
      <c r="BR26" s="51">
        <v>22192</v>
      </c>
      <c r="BS26" s="51">
        <v>0</v>
      </c>
      <c r="BT26" s="51">
        <v>0</v>
      </c>
      <c r="BU26" s="51">
        <v>0</v>
      </c>
      <c r="BV26" s="51">
        <v>0</v>
      </c>
      <c r="BW26" s="51">
        <v>0</v>
      </c>
      <c r="BX26" s="51">
        <v>8</v>
      </c>
      <c r="BY26" s="51">
        <v>0</v>
      </c>
      <c r="BZ26" s="51">
        <v>0</v>
      </c>
      <c r="CA26" s="51">
        <v>0</v>
      </c>
      <c r="CB26" s="51">
        <v>0</v>
      </c>
      <c r="CC26" s="51">
        <v>0</v>
      </c>
      <c r="CD26" s="51">
        <v>8</v>
      </c>
      <c r="CE26" s="51">
        <v>0</v>
      </c>
      <c r="CF26" s="51"/>
      <c r="CG26" s="51"/>
      <c r="CH26" s="51">
        <v>0</v>
      </c>
      <c r="CI26" s="51">
        <v>6</v>
      </c>
      <c r="CJ26" s="51">
        <v>8</v>
      </c>
      <c r="CK26" s="52">
        <v>45422</v>
      </c>
      <c r="CL26" s="51" t="s">
        <v>166</v>
      </c>
      <c r="CM26" s="51"/>
      <c r="CN26" s="51" t="s">
        <v>12</v>
      </c>
      <c r="CO26" s="51"/>
      <c r="CP26" s="51">
        <v>2</v>
      </c>
    </row>
    <row r="27" spans="1:94" x14ac:dyDescent="0.25">
      <c r="A27" s="51">
        <v>26</v>
      </c>
      <c r="B27" s="51" t="s">
        <v>154</v>
      </c>
      <c r="C27" s="51" t="s">
        <v>155</v>
      </c>
      <c r="D27" s="51" t="s">
        <v>156</v>
      </c>
      <c r="E27" s="51" t="s">
        <v>157</v>
      </c>
      <c r="F27" s="51">
        <v>2024</v>
      </c>
      <c r="G27" s="51" t="s">
        <v>186</v>
      </c>
      <c r="H27" s="51">
        <v>40</v>
      </c>
      <c r="I27" s="51" t="s">
        <v>235</v>
      </c>
      <c r="J27" s="51"/>
      <c r="K27" s="51">
        <v>181</v>
      </c>
      <c r="L27" s="52">
        <v>45315</v>
      </c>
      <c r="M27" s="51" t="s">
        <v>3</v>
      </c>
      <c r="N27" s="51" t="s">
        <v>218</v>
      </c>
      <c r="O27" s="51" t="s">
        <v>161</v>
      </c>
      <c r="P27" s="51" t="s">
        <v>9</v>
      </c>
      <c r="Q27" s="51" t="s">
        <v>1</v>
      </c>
      <c r="R27" s="52">
        <v>45231</v>
      </c>
      <c r="S27" s="51" t="s">
        <v>0</v>
      </c>
      <c r="T27" s="52">
        <v>44501</v>
      </c>
      <c r="U27" s="51"/>
      <c r="V27" s="51">
        <v>0</v>
      </c>
      <c r="W27" s="51">
        <v>0</v>
      </c>
      <c r="X27" s="51">
        <v>0</v>
      </c>
      <c r="Y27" s="51">
        <v>0</v>
      </c>
      <c r="Z27" s="51">
        <v>0</v>
      </c>
      <c r="AA27" s="51">
        <v>0</v>
      </c>
      <c r="AB27" s="51">
        <v>0</v>
      </c>
      <c r="AC27" s="51">
        <v>0</v>
      </c>
      <c r="AD27" s="51">
        <v>0</v>
      </c>
      <c r="AE27" s="51">
        <v>0</v>
      </c>
      <c r="AF27" s="51">
        <v>0</v>
      </c>
      <c r="AG27" s="51">
        <v>0</v>
      </c>
      <c r="AH27" s="51">
        <v>0</v>
      </c>
      <c r="AI27" s="51">
        <v>0</v>
      </c>
      <c r="AJ27" s="51">
        <v>0</v>
      </c>
      <c r="AK27" s="51">
        <v>0</v>
      </c>
      <c r="AL27" s="51">
        <v>0</v>
      </c>
      <c r="AM27" s="51">
        <v>0</v>
      </c>
      <c r="AN27" s="51">
        <v>0</v>
      </c>
      <c r="AO27" s="51">
        <v>0</v>
      </c>
      <c r="AP27" s="51">
        <v>0</v>
      </c>
      <c r="AQ27" s="51">
        <v>0</v>
      </c>
      <c r="AR27" s="51">
        <v>0</v>
      </c>
      <c r="AS27" s="51">
        <v>0</v>
      </c>
      <c r="AT27" s="51">
        <v>0</v>
      </c>
      <c r="AU27" s="51">
        <v>0</v>
      </c>
      <c r="AV27" s="51">
        <v>0</v>
      </c>
      <c r="AW27" s="51">
        <v>0</v>
      </c>
      <c r="AX27" s="51">
        <v>0</v>
      </c>
      <c r="AY27" s="51">
        <v>0</v>
      </c>
      <c r="AZ27" s="51">
        <v>0</v>
      </c>
      <c r="BA27" s="51">
        <v>0</v>
      </c>
      <c r="BB27" s="51">
        <v>0</v>
      </c>
      <c r="BC27" s="51">
        <v>0</v>
      </c>
      <c r="BD27" s="51">
        <v>0</v>
      </c>
      <c r="BE27" s="51">
        <v>0</v>
      </c>
      <c r="BF27" s="51">
        <v>0</v>
      </c>
      <c r="BG27" s="51">
        <v>0</v>
      </c>
      <c r="BH27" s="51">
        <v>0</v>
      </c>
      <c r="BI27" s="51">
        <v>0</v>
      </c>
      <c r="BJ27" s="51">
        <v>1</v>
      </c>
      <c r="BK27" s="51" t="s">
        <v>219</v>
      </c>
      <c r="BL27" s="51" t="s">
        <v>163</v>
      </c>
      <c r="BM27" s="51">
        <v>0</v>
      </c>
      <c r="BN27" s="51" t="s">
        <v>236</v>
      </c>
      <c r="BO27" s="51"/>
      <c r="BP27" s="51" t="s">
        <v>170</v>
      </c>
      <c r="BQ27" s="51" t="s">
        <v>154</v>
      </c>
      <c r="BR27" s="51">
        <v>22191</v>
      </c>
      <c r="BS27" s="51">
        <v>0</v>
      </c>
      <c r="BT27" s="51">
        <v>0</v>
      </c>
      <c r="BU27" s="51">
        <v>0</v>
      </c>
      <c r="BV27" s="51">
        <v>0</v>
      </c>
      <c r="BW27" s="51">
        <v>0</v>
      </c>
      <c r="BX27" s="51">
        <v>0</v>
      </c>
      <c r="BY27" s="51">
        <v>0</v>
      </c>
      <c r="BZ27" s="51">
        <v>0</v>
      </c>
      <c r="CA27" s="51">
        <v>0</v>
      </c>
      <c r="CB27" s="51">
        <v>0</v>
      </c>
      <c r="CC27" s="51">
        <v>0</v>
      </c>
      <c r="CD27" s="51">
        <v>0</v>
      </c>
      <c r="CE27" s="51">
        <v>22</v>
      </c>
      <c r="CF27" s="52">
        <v>45231</v>
      </c>
      <c r="CG27" s="52">
        <v>45383</v>
      </c>
      <c r="CH27" s="51">
        <v>0</v>
      </c>
      <c r="CI27" s="51">
        <v>22</v>
      </c>
      <c r="CJ27" s="51">
        <v>22</v>
      </c>
      <c r="CK27" s="52">
        <v>45422</v>
      </c>
      <c r="CL27" s="51" t="s">
        <v>228</v>
      </c>
      <c r="CM27" s="51"/>
      <c r="CN27" s="51" t="s">
        <v>12</v>
      </c>
      <c r="CO27" s="51"/>
      <c r="CP27" s="51">
        <v>2</v>
      </c>
    </row>
    <row r="28" spans="1:94" x14ac:dyDescent="0.25">
      <c r="A28" s="51">
        <v>27</v>
      </c>
      <c r="B28" s="51" t="s">
        <v>154</v>
      </c>
      <c r="C28" s="51" t="s">
        <v>155</v>
      </c>
      <c r="D28" s="51" t="s">
        <v>156</v>
      </c>
      <c r="E28" s="51" t="s">
        <v>157</v>
      </c>
      <c r="F28" s="51">
        <v>2024</v>
      </c>
      <c r="G28" s="51" t="s">
        <v>158</v>
      </c>
      <c r="H28" s="51">
        <v>49</v>
      </c>
      <c r="I28" s="51" t="s">
        <v>237</v>
      </c>
      <c r="J28" s="51"/>
      <c r="K28" s="51">
        <v>195</v>
      </c>
      <c r="L28" s="52">
        <v>45315</v>
      </c>
      <c r="M28" s="51" t="s">
        <v>4</v>
      </c>
      <c r="N28" s="51"/>
      <c r="O28" s="51" t="s">
        <v>161</v>
      </c>
      <c r="P28" s="51" t="s">
        <v>9</v>
      </c>
      <c r="Q28" s="51" t="s">
        <v>1</v>
      </c>
      <c r="R28" s="52">
        <v>45292</v>
      </c>
      <c r="S28" s="51" t="s">
        <v>0</v>
      </c>
      <c r="T28" s="52">
        <v>44197</v>
      </c>
      <c r="U28" s="51"/>
      <c r="V28" s="51">
        <v>0</v>
      </c>
      <c r="W28" s="51">
        <v>0</v>
      </c>
      <c r="X28" s="51">
        <v>0</v>
      </c>
      <c r="Y28" s="51">
        <v>0</v>
      </c>
      <c r="Z28" s="51">
        <v>0</v>
      </c>
      <c r="AA28" s="51">
        <v>0</v>
      </c>
      <c r="AB28" s="51">
        <v>0</v>
      </c>
      <c r="AC28" s="51">
        <v>0</v>
      </c>
      <c r="AD28" s="51">
        <v>0</v>
      </c>
      <c r="AE28" s="51">
        <v>0</v>
      </c>
      <c r="AF28" s="51">
        <v>0</v>
      </c>
      <c r="AG28" s="51">
        <v>0</v>
      </c>
      <c r="AH28" s="51">
        <v>0</v>
      </c>
      <c r="AI28" s="51">
        <v>0</v>
      </c>
      <c r="AJ28" s="51">
        <v>0</v>
      </c>
      <c r="AK28" s="51">
        <v>0</v>
      </c>
      <c r="AL28" s="51">
        <v>0</v>
      </c>
      <c r="AM28" s="51">
        <v>0</v>
      </c>
      <c r="AN28" s="51">
        <v>0</v>
      </c>
      <c r="AO28" s="51">
        <v>0</v>
      </c>
      <c r="AP28" s="51">
        <v>0</v>
      </c>
      <c r="AQ28" s="51">
        <v>0</v>
      </c>
      <c r="AR28" s="51">
        <v>0</v>
      </c>
      <c r="AS28" s="51">
        <v>0</v>
      </c>
      <c r="AT28" s="51">
        <v>0</v>
      </c>
      <c r="AU28" s="51">
        <v>0</v>
      </c>
      <c r="AV28" s="51">
        <v>0</v>
      </c>
      <c r="AW28" s="51">
        <v>0</v>
      </c>
      <c r="AX28" s="51">
        <v>0</v>
      </c>
      <c r="AY28" s="51">
        <v>0</v>
      </c>
      <c r="AZ28" s="51">
        <v>0</v>
      </c>
      <c r="BA28" s="51">
        <v>0</v>
      </c>
      <c r="BB28" s="51">
        <v>0</v>
      </c>
      <c r="BC28" s="51">
        <v>0</v>
      </c>
      <c r="BD28" s="51">
        <v>0</v>
      </c>
      <c r="BE28" s="51">
        <v>0</v>
      </c>
      <c r="BF28" s="51">
        <v>0</v>
      </c>
      <c r="BG28" s="51">
        <v>0</v>
      </c>
      <c r="BH28" s="51">
        <v>0</v>
      </c>
      <c r="BI28" s="51">
        <v>0</v>
      </c>
      <c r="BJ28" s="51">
        <v>1</v>
      </c>
      <c r="BK28" s="51" t="s">
        <v>238</v>
      </c>
      <c r="BL28" s="51" t="s">
        <v>178</v>
      </c>
      <c r="BM28" s="51">
        <v>0</v>
      </c>
      <c r="BN28" s="51" t="s">
        <v>164</v>
      </c>
      <c r="BO28" s="51"/>
      <c r="BP28" s="51" t="s">
        <v>165</v>
      </c>
      <c r="BQ28" s="51" t="s">
        <v>154</v>
      </c>
      <c r="BR28" s="51">
        <v>20110</v>
      </c>
      <c r="BS28" s="51">
        <v>0</v>
      </c>
      <c r="BT28" s="51">
        <v>0</v>
      </c>
      <c r="BU28" s="51">
        <v>0</v>
      </c>
      <c r="BV28" s="51">
        <v>0</v>
      </c>
      <c r="BW28" s="51">
        <v>0</v>
      </c>
      <c r="BX28" s="51">
        <v>0</v>
      </c>
      <c r="BY28" s="51">
        <v>0</v>
      </c>
      <c r="BZ28" s="51">
        <v>0</v>
      </c>
      <c r="CA28" s="51">
        <v>0</v>
      </c>
      <c r="CB28" s="51">
        <v>0</v>
      </c>
      <c r="CC28" s="51">
        <v>0</v>
      </c>
      <c r="CD28" s="51">
        <v>0</v>
      </c>
      <c r="CE28" s="51">
        <v>0</v>
      </c>
      <c r="CF28" s="51"/>
      <c r="CG28" s="51"/>
      <c r="CH28" s="51">
        <v>0</v>
      </c>
      <c r="CI28" s="51">
        <v>0</v>
      </c>
      <c r="CJ28" s="51">
        <v>0</v>
      </c>
      <c r="CK28" s="52">
        <v>45422</v>
      </c>
      <c r="CL28" s="51" t="s">
        <v>239</v>
      </c>
      <c r="CM28" s="51"/>
      <c r="CN28" s="51" t="s">
        <v>12</v>
      </c>
      <c r="CO28" s="51"/>
      <c r="CP28" s="51">
        <v>2</v>
      </c>
    </row>
    <row r="29" spans="1:94" x14ac:dyDescent="0.25">
      <c r="A29" s="51">
        <v>28</v>
      </c>
      <c r="B29" s="51" t="s">
        <v>154</v>
      </c>
      <c r="C29" s="51" t="s">
        <v>155</v>
      </c>
      <c r="D29" s="51" t="s">
        <v>156</v>
      </c>
      <c r="E29" s="51" t="s">
        <v>157</v>
      </c>
      <c r="F29" s="51">
        <v>2024</v>
      </c>
      <c r="G29" s="51" t="s">
        <v>240</v>
      </c>
      <c r="H29" s="51">
        <v>207</v>
      </c>
      <c r="I29" s="51" t="s">
        <v>241</v>
      </c>
      <c r="J29" s="51"/>
      <c r="K29" s="51">
        <v>208</v>
      </c>
      <c r="L29" s="52">
        <v>45315</v>
      </c>
      <c r="M29" s="51" t="s">
        <v>3</v>
      </c>
      <c r="N29" s="51" t="s">
        <v>242</v>
      </c>
      <c r="O29" s="51" t="s">
        <v>161</v>
      </c>
      <c r="P29" s="51" t="s">
        <v>12</v>
      </c>
      <c r="Q29" s="51" t="s">
        <v>1</v>
      </c>
      <c r="R29" s="52">
        <v>45200</v>
      </c>
      <c r="S29" s="51" t="s">
        <v>0</v>
      </c>
      <c r="T29" s="52">
        <v>44927</v>
      </c>
      <c r="U29" s="51"/>
      <c r="V29" s="51">
        <v>0</v>
      </c>
      <c r="W29" s="51">
        <v>0</v>
      </c>
      <c r="X29" s="51">
        <v>0</v>
      </c>
      <c r="Y29" s="51">
        <v>0</v>
      </c>
      <c r="Z29" s="51">
        <v>0</v>
      </c>
      <c r="AA29" s="51">
        <v>0</v>
      </c>
      <c r="AB29" s="51">
        <v>0</v>
      </c>
      <c r="AC29" s="51">
        <v>0</v>
      </c>
      <c r="AD29" s="51">
        <v>0</v>
      </c>
      <c r="AE29" s="51">
        <v>0</v>
      </c>
      <c r="AF29" s="51">
        <v>0</v>
      </c>
      <c r="AG29" s="51">
        <v>0</v>
      </c>
      <c r="AH29" s="51">
        <v>0</v>
      </c>
      <c r="AI29" s="51">
        <v>0</v>
      </c>
      <c r="AJ29" s="51">
        <v>0</v>
      </c>
      <c r="AK29" s="51">
        <v>0</v>
      </c>
      <c r="AL29" s="51">
        <v>0</v>
      </c>
      <c r="AM29" s="51">
        <v>0</v>
      </c>
      <c r="AN29" s="51">
        <v>0</v>
      </c>
      <c r="AO29" s="51">
        <v>0</v>
      </c>
      <c r="AP29" s="51">
        <v>0</v>
      </c>
      <c r="AQ29" s="51">
        <v>0</v>
      </c>
      <c r="AR29" s="51">
        <v>0</v>
      </c>
      <c r="AS29" s="51">
        <v>0</v>
      </c>
      <c r="AT29" s="51">
        <v>0</v>
      </c>
      <c r="AU29" s="51">
        <v>0</v>
      </c>
      <c r="AV29" s="51">
        <v>0</v>
      </c>
      <c r="AW29" s="51">
        <v>0</v>
      </c>
      <c r="AX29" s="51">
        <v>0</v>
      </c>
      <c r="AY29" s="51">
        <v>0</v>
      </c>
      <c r="AZ29" s="51">
        <v>0</v>
      </c>
      <c r="BA29" s="51">
        <v>0</v>
      </c>
      <c r="BB29" s="51">
        <v>0</v>
      </c>
      <c r="BC29" s="51">
        <v>0</v>
      </c>
      <c r="BD29" s="51">
        <v>0</v>
      </c>
      <c r="BE29" s="51">
        <v>0</v>
      </c>
      <c r="BF29" s="51">
        <v>0</v>
      </c>
      <c r="BG29" s="51">
        <v>0</v>
      </c>
      <c r="BH29" s="51">
        <v>0</v>
      </c>
      <c r="BI29" s="51">
        <v>0</v>
      </c>
      <c r="BJ29" s="51">
        <v>1</v>
      </c>
      <c r="BK29" s="51" t="s">
        <v>219</v>
      </c>
      <c r="BL29" s="51" t="s">
        <v>178</v>
      </c>
      <c r="BM29" s="51">
        <v>0</v>
      </c>
      <c r="BN29" s="51" t="s">
        <v>243</v>
      </c>
      <c r="BO29" s="51"/>
      <c r="BP29" s="51" t="s">
        <v>170</v>
      </c>
      <c r="BQ29" s="51" t="s">
        <v>154</v>
      </c>
      <c r="BR29" s="51">
        <v>22191</v>
      </c>
      <c r="BS29" s="51">
        <v>0</v>
      </c>
      <c r="BT29" s="51">
        <v>0</v>
      </c>
      <c r="BU29" s="51">
        <v>0</v>
      </c>
      <c r="BV29" s="51">
        <v>0</v>
      </c>
      <c r="BW29" s="51">
        <v>0</v>
      </c>
      <c r="BX29" s="51">
        <v>5</v>
      </c>
      <c r="BY29" s="51">
        <v>0</v>
      </c>
      <c r="BZ29" s="51">
        <v>0</v>
      </c>
      <c r="CA29" s="51">
        <v>0</v>
      </c>
      <c r="CB29" s="51">
        <v>0</v>
      </c>
      <c r="CC29" s="51">
        <v>0</v>
      </c>
      <c r="CD29" s="51">
        <v>5</v>
      </c>
      <c r="CE29" s="51">
        <v>0</v>
      </c>
      <c r="CF29" s="51"/>
      <c r="CG29" s="51"/>
      <c r="CH29" s="51">
        <v>0</v>
      </c>
      <c r="CI29" s="51">
        <v>5</v>
      </c>
      <c r="CJ29" s="51">
        <v>5</v>
      </c>
      <c r="CK29" s="52">
        <v>45422</v>
      </c>
      <c r="CL29" s="51" t="s">
        <v>244</v>
      </c>
      <c r="CM29" s="51"/>
      <c r="CN29" s="51" t="s">
        <v>12</v>
      </c>
      <c r="CO29" s="51"/>
      <c r="CP29" s="51">
        <v>2</v>
      </c>
    </row>
    <row r="30" spans="1:94" x14ac:dyDescent="0.25">
      <c r="A30" s="51">
        <v>29</v>
      </c>
      <c r="B30" s="51" t="s">
        <v>154</v>
      </c>
      <c r="C30" s="51" t="s">
        <v>155</v>
      </c>
      <c r="D30" s="51" t="s">
        <v>156</v>
      </c>
      <c r="E30" s="51" t="s">
        <v>157</v>
      </c>
      <c r="F30" s="51">
        <v>2024</v>
      </c>
      <c r="G30" s="51" t="s">
        <v>245</v>
      </c>
      <c r="H30" s="51">
        <v>209</v>
      </c>
      <c r="I30" s="51" t="s">
        <v>246</v>
      </c>
      <c r="J30" s="51"/>
      <c r="K30" s="51">
        <v>210</v>
      </c>
      <c r="L30" s="52">
        <v>45315</v>
      </c>
      <c r="M30" s="51" t="s">
        <v>3</v>
      </c>
      <c r="N30" s="51" t="s">
        <v>242</v>
      </c>
      <c r="O30" s="51" t="s">
        <v>161</v>
      </c>
      <c r="P30" s="51" t="s">
        <v>12</v>
      </c>
      <c r="Q30" s="51" t="s">
        <v>1</v>
      </c>
      <c r="R30" s="52">
        <v>45200</v>
      </c>
      <c r="S30" s="51" t="s">
        <v>0</v>
      </c>
      <c r="T30" s="52">
        <v>44927</v>
      </c>
      <c r="U30" s="51"/>
      <c r="V30" s="51">
        <v>0</v>
      </c>
      <c r="W30" s="51">
        <v>0</v>
      </c>
      <c r="X30" s="51">
        <v>0</v>
      </c>
      <c r="Y30" s="51">
        <v>0</v>
      </c>
      <c r="Z30" s="51">
        <v>0</v>
      </c>
      <c r="AA30" s="51">
        <v>0</v>
      </c>
      <c r="AB30" s="51">
        <v>0</v>
      </c>
      <c r="AC30" s="51">
        <v>0</v>
      </c>
      <c r="AD30" s="51">
        <v>0</v>
      </c>
      <c r="AE30" s="51">
        <v>0</v>
      </c>
      <c r="AF30" s="51">
        <v>0</v>
      </c>
      <c r="AG30" s="51">
        <v>0</v>
      </c>
      <c r="AH30" s="51">
        <v>0</v>
      </c>
      <c r="AI30" s="51">
        <v>0</v>
      </c>
      <c r="AJ30" s="51">
        <v>0</v>
      </c>
      <c r="AK30" s="51">
        <v>0</v>
      </c>
      <c r="AL30" s="51">
        <v>0</v>
      </c>
      <c r="AM30" s="51">
        <v>0</v>
      </c>
      <c r="AN30" s="51">
        <v>0</v>
      </c>
      <c r="AO30" s="51">
        <v>0</v>
      </c>
      <c r="AP30" s="51">
        <v>0</v>
      </c>
      <c r="AQ30" s="51">
        <v>0</v>
      </c>
      <c r="AR30" s="51">
        <v>0</v>
      </c>
      <c r="AS30" s="51">
        <v>0</v>
      </c>
      <c r="AT30" s="51">
        <v>0</v>
      </c>
      <c r="AU30" s="51">
        <v>0</v>
      </c>
      <c r="AV30" s="51">
        <v>0</v>
      </c>
      <c r="AW30" s="51">
        <v>0</v>
      </c>
      <c r="AX30" s="51">
        <v>0</v>
      </c>
      <c r="AY30" s="51">
        <v>0</v>
      </c>
      <c r="AZ30" s="51">
        <v>0</v>
      </c>
      <c r="BA30" s="51">
        <v>0</v>
      </c>
      <c r="BB30" s="51">
        <v>0</v>
      </c>
      <c r="BC30" s="51">
        <v>0</v>
      </c>
      <c r="BD30" s="51">
        <v>0</v>
      </c>
      <c r="BE30" s="51">
        <v>0</v>
      </c>
      <c r="BF30" s="51">
        <v>0</v>
      </c>
      <c r="BG30" s="51">
        <v>0</v>
      </c>
      <c r="BH30" s="51">
        <v>0</v>
      </c>
      <c r="BI30" s="51">
        <v>0</v>
      </c>
      <c r="BJ30" s="51">
        <v>1</v>
      </c>
      <c r="BK30" s="51" t="s">
        <v>219</v>
      </c>
      <c r="BL30" s="51" t="s">
        <v>178</v>
      </c>
      <c r="BM30" s="51">
        <v>0</v>
      </c>
      <c r="BN30" s="51" t="s">
        <v>243</v>
      </c>
      <c r="BO30" s="51"/>
      <c r="BP30" s="51" t="s">
        <v>170</v>
      </c>
      <c r="BQ30" s="51" t="s">
        <v>154</v>
      </c>
      <c r="BR30" s="51">
        <v>22191</v>
      </c>
      <c r="BS30" s="51">
        <v>21</v>
      </c>
      <c r="BT30" s="51">
        <v>6</v>
      </c>
      <c r="BU30" s="51">
        <v>0</v>
      </c>
      <c r="BV30" s="51">
        <v>0</v>
      </c>
      <c r="BW30" s="51">
        <v>0</v>
      </c>
      <c r="BX30" s="51">
        <v>0</v>
      </c>
      <c r="BY30" s="51">
        <v>0</v>
      </c>
      <c r="BZ30" s="51">
        <v>0</v>
      </c>
      <c r="CA30" s="51">
        <v>0</v>
      </c>
      <c r="CB30" s="51">
        <v>0</v>
      </c>
      <c r="CC30" s="51">
        <v>0</v>
      </c>
      <c r="CD30" s="51">
        <v>21</v>
      </c>
      <c r="CE30" s="51">
        <v>0</v>
      </c>
      <c r="CF30" s="51"/>
      <c r="CG30" s="51"/>
      <c r="CH30" s="51">
        <v>0</v>
      </c>
      <c r="CI30" s="51">
        <v>21</v>
      </c>
      <c r="CJ30" s="51">
        <v>21</v>
      </c>
      <c r="CK30" s="52">
        <v>45422</v>
      </c>
      <c r="CL30" s="51" t="s">
        <v>244</v>
      </c>
      <c r="CM30" s="51"/>
      <c r="CN30" s="51" t="s">
        <v>12</v>
      </c>
      <c r="CO30" s="51"/>
      <c r="CP30" s="51">
        <v>2</v>
      </c>
    </row>
    <row r="31" spans="1:94" x14ac:dyDescent="0.25">
      <c r="A31" s="51">
        <v>30</v>
      </c>
      <c r="B31" s="51" t="s">
        <v>154</v>
      </c>
      <c r="C31" s="51" t="s">
        <v>155</v>
      </c>
      <c r="D31" s="51" t="s">
        <v>156</v>
      </c>
      <c r="E31" s="51" t="s">
        <v>157</v>
      </c>
      <c r="F31" s="51">
        <v>2024</v>
      </c>
      <c r="G31" s="51" t="s">
        <v>247</v>
      </c>
      <c r="H31" s="51">
        <v>92</v>
      </c>
      <c r="I31" s="51" t="s">
        <v>248</v>
      </c>
      <c r="J31" s="51"/>
      <c r="K31" s="51">
        <v>216</v>
      </c>
      <c r="L31" s="52">
        <v>45315</v>
      </c>
      <c r="M31" s="51" t="s">
        <v>5</v>
      </c>
      <c r="N31" s="51"/>
      <c r="O31" s="51" t="s">
        <v>161</v>
      </c>
      <c r="P31" s="51" t="s">
        <v>9</v>
      </c>
      <c r="Q31" s="51" t="s">
        <v>1</v>
      </c>
      <c r="R31" s="52">
        <v>45200</v>
      </c>
      <c r="S31" s="51" t="s">
        <v>0</v>
      </c>
      <c r="T31" s="52">
        <v>45047</v>
      </c>
      <c r="U31" s="51"/>
      <c r="V31" s="51">
        <v>0</v>
      </c>
      <c r="W31" s="51">
        <v>0</v>
      </c>
      <c r="X31" s="51">
        <v>0</v>
      </c>
      <c r="Y31" s="51">
        <v>0</v>
      </c>
      <c r="Z31" s="51">
        <v>0</v>
      </c>
      <c r="AA31" s="51">
        <v>0</v>
      </c>
      <c r="AB31" s="51">
        <v>0</v>
      </c>
      <c r="AC31" s="51">
        <v>0</v>
      </c>
      <c r="AD31" s="51">
        <v>0</v>
      </c>
      <c r="AE31" s="51">
        <v>0</v>
      </c>
      <c r="AF31" s="51">
        <v>0</v>
      </c>
      <c r="AG31" s="51">
        <v>0</v>
      </c>
      <c r="AH31" s="51">
        <v>0</v>
      </c>
      <c r="AI31" s="51">
        <v>0</v>
      </c>
      <c r="AJ31" s="51">
        <v>0</v>
      </c>
      <c r="AK31" s="51">
        <v>0</v>
      </c>
      <c r="AL31" s="51">
        <v>0</v>
      </c>
      <c r="AM31" s="51">
        <v>0</v>
      </c>
      <c r="AN31" s="51">
        <v>0</v>
      </c>
      <c r="AO31" s="51">
        <v>0</v>
      </c>
      <c r="AP31" s="51">
        <v>0</v>
      </c>
      <c r="AQ31" s="51">
        <v>0</v>
      </c>
      <c r="AR31" s="51">
        <v>0</v>
      </c>
      <c r="AS31" s="51">
        <v>0</v>
      </c>
      <c r="AT31" s="51">
        <v>0</v>
      </c>
      <c r="AU31" s="51">
        <v>0</v>
      </c>
      <c r="AV31" s="51">
        <v>0</v>
      </c>
      <c r="AW31" s="51">
        <v>0</v>
      </c>
      <c r="AX31" s="51">
        <v>0</v>
      </c>
      <c r="AY31" s="51">
        <v>0</v>
      </c>
      <c r="AZ31" s="51">
        <v>0</v>
      </c>
      <c r="BA31" s="51">
        <v>0</v>
      </c>
      <c r="BB31" s="51">
        <v>0</v>
      </c>
      <c r="BC31" s="51">
        <v>0</v>
      </c>
      <c r="BD31" s="51">
        <v>0</v>
      </c>
      <c r="BE31" s="51">
        <v>0</v>
      </c>
      <c r="BF31" s="51">
        <v>0</v>
      </c>
      <c r="BG31" s="51">
        <v>0</v>
      </c>
      <c r="BH31" s="51">
        <v>0</v>
      </c>
      <c r="BI31" s="51">
        <v>0</v>
      </c>
      <c r="BJ31" s="51">
        <v>1</v>
      </c>
      <c r="BK31" s="51" t="s">
        <v>249</v>
      </c>
      <c r="BL31" s="51" t="s">
        <v>178</v>
      </c>
      <c r="BM31" s="51">
        <v>0</v>
      </c>
      <c r="BN31" s="51" t="s">
        <v>250</v>
      </c>
      <c r="BO31" s="51"/>
      <c r="BP31" s="51" t="s">
        <v>170</v>
      </c>
      <c r="BQ31" s="51" t="s">
        <v>154</v>
      </c>
      <c r="BR31" s="51">
        <v>22193</v>
      </c>
      <c r="BS31" s="51">
        <v>22</v>
      </c>
      <c r="BT31" s="51">
        <v>6</v>
      </c>
      <c r="BU31" s="51">
        <v>0</v>
      </c>
      <c r="BV31" s="51">
        <v>0</v>
      </c>
      <c r="BW31" s="51">
        <v>0</v>
      </c>
      <c r="BX31" s="51">
        <v>0</v>
      </c>
      <c r="BY31" s="51">
        <v>0</v>
      </c>
      <c r="BZ31" s="51">
        <v>0</v>
      </c>
      <c r="CA31" s="51">
        <v>0</v>
      </c>
      <c r="CB31" s="51">
        <v>0</v>
      </c>
      <c r="CC31" s="51">
        <v>0</v>
      </c>
      <c r="CD31" s="51">
        <v>22</v>
      </c>
      <c r="CE31" s="51">
        <v>0</v>
      </c>
      <c r="CF31" s="51"/>
      <c r="CG31" s="51"/>
      <c r="CH31" s="51">
        <v>0</v>
      </c>
      <c r="CI31" s="51">
        <v>22</v>
      </c>
      <c r="CJ31" s="51">
        <v>22</v>
      </c>
      <c r="CK31" s="52">
        <v>45422</v>
      </c>
      <c r="CL31" s="51" t="s">
        <v>166</v>
      </c>
      <c r="CM31" s="51"/>
      <c r="CN31" s="51" t="s">
        <v>12</v>
      </c>
      <c r="CO31" s="51"/>
      <c r="CP31" s="51">
        <v>2</v>
      </c>
    </row>
    <row r="32" spans="1:94" x14ac:dyDescent="0.25">
      <c r="A32" s="51">
        <v>31</v>
      </c>
      <c r="B32" s="51" t="s">
        <v>154</v>
      </c>
      <c r="C32" s="51" t="s">
        <v>155</v>
      </c>
      <c r="D32" s="51" t="s">
        <v>156</v>
      </c>
      <c r="E32" s="51" t="s">
        <v>157</v>
      </c>
      <c r="F32" s="51">
        <v>2024</v>
      </c>
      <c r="G32" s="51" t="s">
        <v>251</v>
      </c>
      <c r="H32" s="51">
        <v>219</v>
      </c>
      <c r="I32" s="51" t="s">
        <v>252</v>
      </c>
      <c r="J32" s="51"/>
      <c r="K32" s="51">
        <v>220</v>
      </c>
      <c r="L32" s="52">
        <v>45315</v>
      </c>
      <c r="M32" s="51" t="s">
        <v>3</v>
      </c>
      <c r="N32" s="51" t="s">
        <v>160</v>
      </c>
      <c r="O32" s="51" t="s">
        <v>161</v>
      </c>
      <c r="P32" s="51" t="s">
        <v>115</v>
      </c>
      <c r="Q32" s="51" t="s">
        <v>1</v>
      </c>
      <c r="R32" s="52">
        <v>45200</v>
      </c>
      <c r="S32" s="51" t="s">
        <v>8</v>
      </c>
      <c r="T32" s="52">
        <v>45200</v>
      </c>
      <c r="U32" s="51"/>
      <c r="V32" s="51">
        <v>1</v>
      </c>
      <c r="W32" s="51">
        <v>0</v>
      </c>
      <c r="X32" s="51">
        <v>0</v>
      </c>
      <c r="Y32" s="51">
        <v>0</v>
      </c>
      <c r="Z32" s="51">
        <v>0</v>
      </c>
      <c r="AA32" s="51">
        <v>0</v>
      </c>
      <c r="AB32" s="51">
        <v>0</v>
      </c>
      <c r="AC32" s="51">
        <v>0</v>
      </c>
      <c r="AD32" s="51">
        <v>0</v>
      </c>
      <c r="AE32" s="51">
        <v>0</v>
      </c>
      <c r="AF32" s="51">
        <v>0</v>
      </c>
      <c r="AG32" s="51">
        <v>0</v>
      </c>
      <c r="AH32" s="51">
        <v>0</v>
      </c>
      <c r="AI32" s="51">
        <v>0</v>
      </c>
      <c r="AJ32" s="51">
        <v>0</v>
      </c>
      <c r="AK32" s="51">
        <v>0</v>
      </c>
      <c r="AL32" s="51">
        <v>0</v>
      </c>
      <c r="AM32" s="51">
        <v>0</v>
      </c>
      <c r="AN32" s="51">
        <v>0</v>
      </c>
      <c r="AO32" s="51">
        <v>0</v>
      </c>
      <c r="AP32" s="51">
        <v>0</v>
      </c>
      <c r="AQ32" s="51">
        <v>0</v>
      </c>
      <c r="AR32" s="51">
        <v>0</v>
      </c>
      <c r="AS32" s="51">
        <v>0</v>
      </c>
      <c r="AT32" s="51">
        <v>0</v>
      </c>
      <c r="AU32" s="51">
        <v>0</v>
      </c>
      <c r="AV32" s="51">
        <v>0</v>
      </c>
      <c r="AW32" s="51">
        <v>0</v>
      </c>
      <c r="AX32" s="51">
        <v>0</v>
      </c>
      <c r="AY32" s="51">
        <v>0</v>
      </c>
      <c r="AZ32" s="51">
        <v>0</v>
      </c>
      <c r="BA32" s="51">
        <v>0</v>
      </c>
      <c r="BB32" s="51">
        <v>0</v>
      </c>
      <c r="BC32" s="51">
        <v>0</v>
      </c>
      <c r="BD32" s="51">
        <v>0</v>
      </c>
      <c r="BE32" s="51">
        <v>0</v>
      </c>
      <c r="BF32" s="51">
        <v>0</v>
      </c>
      <c r="BG32" s="51">
        <v>0</v>
      </c>
      <c r="BH32" s="51">
        <v>0</v>
      </c>
      <c r="BI32" s="51">
        <v>0</v>
      </c>
      <c r="BJ32" s="51">
        <v>1</v>
      </c>
      <c r="BK32" s="51" t="s">
        <v>253</v>
      </c>
      <c r="BL32" s="51" t="s">
        <v>181</v>
      </c>
      <c r="BM32" s="51">
        <v>1</v>
      </c>
      <c r="BN32" s="51"/>
      <c r="BO32" s="51"/>
      <c r="BP32" s="51"/>
      <c r="BQ32" s="51"/>
      <c r="BR32" s="51">
        <v>22026</v>
      </c>
      <c r="BS32" s="51">
        <v>15</v>
      </c>
      <c r="BT32" s="51">
        <v>5</v>
      </c>
      <c r="BU32" s="51">
        <v>0</v>
      </c>
      <c r="BV32" s="51">
        <v>0</v>
      </c>
      <c r="BW32" s="51">
        <v>0</v>
      </c>
      <c r="BX32" s="51">
        <v>3</v>
      </c>
      <c r="BY32" s="51">
        <v>0</v>
      </c>
      <c r="BZ32" s="51">
        <v>0</v>
      </c>
      <c r="CA32" s="51">
        <v>0</v>
      </c>
      <c r="CB32" s="51">
        <v>0</v>
      </c>
      <c r="CC32" s="51">
        <v>0</v>
      </c>
      <c r="CD32" s="51">
        <v>18</v>
      </c>
      <c r="CE32" s="51">
        <v>0</v>
      </c>
      <c r="CF32" s="51"/>
      <c r="CG32" s="51"/>
      <c r="CH32" s="51">
        <v>0</v>
      </c>
      <c r="CI32" s="51">
        <v>4</v>
      </c>
      <c r="CJ32" s="51">
        <v>18</v>
      </c>
      <c r="CK32" s="52">
        <v>45422</v>
      </c>
      <c r="CL32" s="51" t="s">
        <v>254</v>
      </c>
      <c r="CM32" s="51"/>
      <c r="CN32" s="51" t="s">
        <v>12</v>
      </c>
      <c r="CO32" s="51"/>
      <c r="CP32" s="51">
        <v>2</v>
      </c>
    </row>
    <row r="33" spans="1:94" x14ac:dyDescent="0.25">
      <c r="A33" s="51">
        <v>32</v>
      </c>
      <c r="B33" s="51" t="s">
        <v>154</v>
      </c>
      <c r="C33" s="51" t="s">
        <v>155</v>
      </c>
      <c r="D33" s="51" t="s">
        <v>156</v>
      </c>
      <c r="E33" s="51" t="s">
        <v>157</v>
      </c>
      <c r="F33" s="51">
        <v>2024</v>
      </c>
      <c r="G33" s="51" t="s">
        <v>251</v>
      </c>
      <c r="H33" s="51">
        <v>219</v>
      </c>
      <c r="I33" s="51" t="s">
        <v>255</v>
      </c>
      <c r="J33" s="51"/>
      <c r="K33" s="51">
        <v>221</v>
      </c>
      <c r="L33" s="52">
        <v>45315</v>
      </c>
      <c r="M33" s="51" t="s">
        <v>4</v>
      </c>
      <c r="N33" s="51"/>
      <c r="O33" s="51" t="s">
        <v>161</v>
      </c>
      <c r="P33" s="51" t="s">
        <v>115</v>
      </c>
      <c r="Q33" s="51" t="s">
        <v>1</v>
      </c>
      <c r="R33" s="52">
        <v>45200</v>
      </c>
      <c r="S33" s="51" t="s">
        <v>8</v>
      </c>
      <c r="T33" s="52">
        <v>45200</v>
      </c>
      <c r="U33" s="51"/>
      <c r="V33" s="51">
        <v>0</v>
      </c>
      <c r="W33" s="51">
        <v>0</v>
      </c>
      <c r="X33" s="51">
        <v>0</v>
      </c>
      <c r="Y33" s="51">
        <v>0</v>
      </c>
      <c r="Z33" s="51">
        <v>0</v>
      </c>
      <c r="AA33" s="51">
        <v>0</v>
      </c>
      <c r="AB33" s="51">
        <v>0</v>
      </c>
      <c r="AC33" s="51">
        <v>1</v>
      </c>
      <c r="AD33" s="51">
        <v>0</v>
      </c>
      <c r="AE33" s="51">
        <v>0</v>
      </c>
      <c r="AF33" s="51">
        <v>0</v>
      </c>
      <c r="AG33" s="51">
        <v>0</v>
      </c>
      <c r="AH33" s="51">
        <v>0</v>
      </c>
      <c r="AI33" s="51">
        <v>0</v>
      </c>
      <c r="AJ33" s="51">
        <v>0</v>
      </c>
      <c r="AK33" s="51">
        <v>0</v>
      </c>
      <c r="AL33" s="51">
        <v>0</v>
      </c>
      <c r="AM33" s="51">
        <v>0</v>
      </c>
      <c r="AN33" s="51">
        <v>0</v>
      </c>
      <c r="AO33" s="51">
        <v>0</v>
      </c>
      <c r="AP33" s="51">
        <v>0</v>
      </c>
      <c r="AQ33" s="51">
        <v>0</v>
      </c>
      <c r="AR33" s="51">
        <v>0</v>
      </c>
      <c r="AS33" s="51">
        <v>0</v>
      </c>
      <c r="AT33" s="51">
        <v>0</v>
      </c>
      <c r="AU33" s="51">
        <v>0</v>
      </c>
      <c r="AV33" s="51">
        <v>0</v>
      </c>
      <c r="AW33" s="51">
        <v>0</v>
      </c>
      <c r="AX33" s="51">
        <v>0</v>
      </c>
      <c r="AY33" s="51">
        <v>0</v>
      </c>
      <c r="AZ33" s="51">
        <v>0</v>
      </c>
      <c r="BA33" s="51">
        <v>0</v>
      </c>
      <c r="BB33" s="51">
        <v>0</v>
      </c>
      <c r="BC33" s="51">
        <v>0</v>
      </c>
      <c r="BD33" s="51">
        <v>0</v>
      </c>
      <c r="BE33" s="51">
        <v>0</v>
      </c>
      <c r="BF33" s="51">
        <v>0</v>
      </c>
      <c r="BG33" s="51">
        <v>0</v>
      </c>
      <c r="BH33" s="51">
        <v>0</v>
      </c>
      <c r="BI33" s="51">
        <v>0</v>
      </c>
      <c r="BJ33" s="51">
        <v>0</v>
      </c>
      <c r="BK33" s="51"/>
      <c r="BL33" s="51" t="s">
        <v>178</v>
      </c>
      <c r="BM33" s="51">
        <v>1</v>
      </c>
      <c r="BN33" s="51" t="s">
        <v>193</v>
      </c>
      <c r="BO33" s="51" t="s">
        <v>256</v>
      </c>
      <c r="BP33" s="51" t="s">
        <v>185</v>
      </c>
      <c r="BQ33" s="51" t="s">
        <v>154</v>
      </c>
      <c r="BR33" s="51">
        <v>22026</v>
      </c>
      <c r="BS33" s="51">
        <v>27</v>
      </c>
      <c r="BT33" s="51">
        <v>9</v>
      </c>
      <c r="BU33" s="51">
        <v>0</v>
      </c>
      <c r="BV33" s="51">
        <v>0</v>
      </c>
      <c r="BW33" s="51">
        <v>0</v>
      </c>
      <c r="BX33" s="51">
        <v>2</v>
      </c>
      <c r="BY33" s="51">
        <v>0</v>
      </c>
      <c r="BZ33" s="51">
        <v>0</v>
      </c>
      <c r="CA33" s="51">
        <v>0</v>
      </c>
      <c r="CB33" s="51">
        <v>0</v>
      </c>
      <c r="CC33" s="51">
        <v>0</v>
      </c>
      <c r="CD33" s="51">
        <v>29</v>
      </c>
      <c r="CE33" s="51">
        <v>0</v>
      </c>
      <c r="CF33" s="51"/>
      <c r="CG33" s="51"/>
      <c r="CH33" s="51">
        <v>0</v>
      </c>
      <c r="CI33" s="51">
        <v>29</v>
      </c>
      <c r="CJ33" s="51">
        <v>29</v>
      </c>
      <c r="CK33" s="52">
        <v>45422</v>
      </c>
      <c r="CL33" s="51" t="s">
        <v>257</v>
      </c>
      <c r="CM33" s="51"/>
      <c r="CN33" s="51" t="s">
        <v>12</v>
      </c>
      <c r="CO33" s="51"/>
      <c r="CP33" s="51">
        <v>2</v>
      </c>
    </row>
  </sheetData>
  <pageMargins left="0.7" right="0.7" top="0.75" bottom="0.75" header="0.3" footer="0.3"/>
  <pageSetup orientation="landscape" horizontalDpi="360" verticalDpi="36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7AC8-2A52-4B4C-8598-8299757837ED}">
  <sheetPr codeName="Sheet1"/>
  <dimension ref="A1:L97"/>
  <sheetViews>
    <sheetView tabSelected="1" zoomScaleNormal="100" zoomScaleSheetLayoutView="115" workbookViewId="0"/>
  </sheetViews>
  <sheetFormatPr defaultColWidth="0" defaultRowHeight="15" zeroHeight="1" x14ac:dyDescent="0.25"/>
  <cols>
    <col min="1" max="1" width="31.7109375" style="2" customWidth="1"/>
    <col min="2" max="7" width="16.7109375" style="2" customWidth="1"/>
    <col min="8" max="10" width="9.140625" style="31" hidden="1" customWidth="1"/>
    <col min="11" max="11" width="0" style="31" hidden="1" customWidth="1"/>
    <col min="12" max="12" width="0" style="2" hidden="1" customWidth="1"/>
    <col min="13" max="16384" width="9.140625" style="2" hidden="1"/>
  </cols>
  <sheetData>
    <row r="1" spans="1:9" ht="21" customHeight="1" x14ac:dyDescent="0.25">
      <c r="A1" s="40" t="s">
        <v>112</v>
      </c>
      <c r="B1" s="28"/>
      <c r="C1" s="28"/>
      <c r="D1" s="28"/>
      <c r="E1" s="28"/>
      <c r="F1" s="28"/>
      <c r="G1" s="28"/>
      <c r="I1" s="31" t="s">
        <v>86</v>
      </c>
    </row>
    <row r="2" spans="1:9" ht="18" customHeight="1" x14ac:dyDescent="0.25">
      <c r="A2" s="45" t="str">
        <f>CONCATENATE(IF(I2="*","All",I2)," Beds Summary")</f>
        <v>All Beds Summary</v>
      </c>
      <c r="B2" s="28"/>
      <c r="C2" s="28"/>
      <c r="D2" s="28"/>
      <c r="E2" s="28"/>
      <c r="F2" s="28"/>
      <c r="G2" s="28"/>
      <c r="I2" s="31" t="s">
        <v>111</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G5" s="14"/>
      <c r="H5" s="32"/>
    </row>
    <row r="6" spans="1:9" ht="72" customHeight="1" x14ac:dyDescent="0.25">
      <c r="A6" s="16" t="s">
        <v>102</v>
      </c>
      <c r="B6" s="16" t="s">
        <v>96</v>
      </c>
      <c r="C6" s="16" t="s">
        <v>97</v>
      </c>
      <c r="D6" s="16" t="s">
        <v>98</v>
      </c>
      <c r="E6" s="16" t="s">
        <v>99</v>
      </c>
      <c r="I6" s="31" t="s">
        <v>84</v>
      </c>
    </row>
    <row r="7" spans="1:9" ht="17.100000000000001" customHeight="1" x14ac:dyDescent="0.25">
      <c r="A7" s="10" t="s">
        <v>107</v>
      </c>
      <c r="B7" s="18">
        <f>SUMIFS(HicRawData[Beds HH w/o Children],
HicRawData[Project Type],$I$2,
HicRawData[Inventory Type],"C",
HicRawData[HMIS Participating],$I7)</f>
        <v>134</v>
      </c>
      <c r="C7" s="18">
        <f>SUMIFS(HicRawData[Beds HH w/ Children],
HicRawData[Project Type],$I$2,
HicRawData[Inventory Type],"C",
HicRawData[HMIS Participating],$I7)</f>
        <v>212</v>
      </c>
      <c r="D7" s="18">
        <f>SUMIFS(HicRawData[Beds HH w/ only Children],
HicRawData[Project Type],$I$2,
HicRawData[Inventory Type],"C",
HicRawData[HMIS Participating],$I7)</f>
        <v>0</v>
      </c>
      <c r="E7" s="18">
        <f>SUM(AllBeds_HmisParticipation[[#This Row],[Households without Children]:[Households with only Children]])</f>
        <v>346</v>
      </c>
      <c r="I7" s="31" t="s">
        <v>9</v>
      </c>
    </row>
    <row r="8" spans="1:9" ht="17.100000000000001" customHeight="1" x14ac:dyDescent="0.25">
      <c r="A8" s="10" t="s">
        <v>108</v>
      </c>
      <c r="B8" s="18">
        <f>SUMIFS(HicRawData[Beds HH w/o Children],
HicRawData[Project Type],$I$2,
HicRawData[Inventory Type],"C",
HicRawData[HMIS Participating],$I8)</f>
        <v>94</v>
      </c>
      <c r="C8" s="18">
        <f>SUMIFS(HicRawData[Beds HH w/ Children],
HicRawData[Project Type],$I$2,
HicRawData[Inventory Type],"C",
HicRawData[HMIS Participating],$I8)</f>
        <v>103</v>
      </c>
      <c r="D8" s="18">
        <f>SUMIFS(HicRawData[Beds HH w/ only Children],
HicRawData[Project Type],$I$2,
HicRawData[Inventory Type],"C",
HicRawData[HMIS Participating],$I8)</f>
        <v>0</v>
      </c>
      <c r="E8" s="18">
        <f>SUM(AllBeds_HmisParticipation[[#This Row],[Households without Children]:[Households with only Children]])</f>
        <v>197</v>
      </c>
      <c r="I8" s="31" t="s">
        <v>12</v>
      </c>
    </row>
    <row r="9" spans="1:9" ht="17.100000000000001" customHeight="1" x14ac:dyDescent="0.25">
      <c r="A9" s="10" t="s">
        <v>130</v>
      </c>
      <c r="B9" s="18">
        <f>SUMIFS(HicRawData[Beds HH w/o Children],
HicRawData[Project Type],$I$2,
HicRawData[Inventory Type],"C",
HicRawData[HMIS Participating],$I9)</f>
        <v>5</v>
      </c>
      <c r="C9" s="18">
        <f>SUMIFS(HicRawData[Beds HH w/ Children],
HicRawData[Project Type],$I$2,
HicRawData[Inventory Type],"C",
HicRawData[HMIS Participating],$I9)</f>
        <v>42</v>
      </c>
      <c r="D9" s="18">
        <f>SUMIFS(HicRawData[Beds HH w/ only Children],
HicRawData[Project Type],$I$2,
HicRawData[Inventory Type],"C",
HicRawData[HMIS Participating],$I9)</f>
        <v>0</v>
      </c>
      <c r="E9" s="18">
        <f>SUM(AllBeds_HmisParticipation[[#This Row],[Households without Children]:[Households with only Children]])</f>
        <v>47</v>
      </c>
      <c r="I9" s="31" t="s">
        <v>115</v>
      </c>
    </row>
    <row r="10" spans="1:9" ht="17.100000000000001" customHeight="1" x14ac:dyDescent="0.25">
      <c r="A10" s="2" t="s">
        <v>100</v>
      </c>
      <c r="B10" s="18">
        <f>SUBTOTAL(109,AllBeds_HmisParticipation[Households without Children])</f>
        <v>233</v>
      </c>
      <c r="C10" s="18">
        <f>SUBTOTAL(109,AllBeds_HmisParticipation[Households with Children])</f>
        <v>357</v>
      </c>
      <c r="D10" s="18">
        <f>SUBTOTAL(109,AllBeds_HmisParticipation[Households with only Children])</f>
        <v>0</v>
      </c>
      <c r="E10" s="18">
        <f>SUBTOTAL(109,AllBeds_HmisParticipation[Total Year-Round Beds])</f>
        <v>590</v>
      </c>
    </row>
    <row r="11" spans="1:9" ht="15" customHeight="1" x14ac:dyDescent="0.25">
      <c r="A11" s="4" t="s">
        <v>101</v>
      </c>
      <c r="B11" s="19">
        <f>IF(B7=0,"N/A",B7/AllBeds_HmisParticipation[[#Totals],[Households without Children]])</f>
        <v>0.57510729613733902</v>
      </c>
      <c r="C11" s="19">
        <f>IF(C7=0,"N/A",C7/AllBeds_HmisParticipation[[#Totals],[Households with Children]])</f>
        <v>0.5938375350140056</v>
      </c>
      <c r="D11" s="19" t="str">
        <f>IF(D7=0,"N/A",D7/AllBeds_HmisParticipation[[#Totals],[Households with only Children]])</f>
        <v>N/A</v>
      </c>
      <c r="E11" s="19">
        <f>IF(E7=0,"N/A",E7/AllBeds_HmisParticipation[[#Totals],[Total Year-Round Beds]])</f>
        <v>0.58644067796610166</v>
      </c>
      <c r="G11" s="30"/>
    </row>
    <row r="12" spans="1:9" ht="15" customHeight="1" x14ac:dyDescent="0.25">
      <c r="A12" s="4"/>
      <c r="B12" s="5"/>
      <c r="C12" s="5"/>
      <c r="D12" s="5"/>
      <c r="E12" s="5"/>
      <c r="G12" s="30"/>
    </row>
    <row r="13" spans="1:9" ht="72" customHeight="1" x14ac:dyDescent="0.25">
      <c r="A13" s="15" t="s">
        <v>127</v>
      </c>
      <c r="B13" s="15" t="s">
        <v>96</v>
      </c>
      <c r="C13" s="15" t="s">
        <v>97</v>
      </c>
      <c r="D13" s="15" t="s">
        <v>98</v>
      </c>
      <c r="E13" s="15" t="s">
        <v>99</v>
      </c>
      <c r="I13" s="31" t="s">
        <v>84</v>
      </c>
    </row>
    <row r="14" spans="1:9" ht="17.100000000000001" customHeight="1" x14ac:dyDescent="0.25">
      <c r="A14" s="10" t="s">
        <v>113</v>
      </c>
      <c r="B14" s="18">
        <f>SUMIFS(HicRawData[Beds HH w/o Children],
HicRawData[Project Type],$I$2,
HicRawData[Inventory Type],"C",
HicRawData[HMIS Participating],$I14,
HicRawData[Victim Service Provider],0)</f>
        <v>134</v>
      </c>
      <c r="C14" s="18">
        <f>SUMIFS(HicRawData[Beds HH w/ Children],
HicRawData[Project Type],$I$2,
HicRawData[Inventory Type],"C",
HicRawData[HMIS Participating],$I14,
HicRawData[Victim Service Provider],0)</f>
        <v>212</v>
      </c>
      <c r="D14" s="18">
        <f>SUMIFS(HicRawData[Beds HH w/ only Children],
HicRawData[Project Type],$I$2,
HicRawData[Inventory Type],"C",
HicRawData[HMIS Participating],$I14,
HicRawData[Victim Service Provider],0)</f>
        <v>0</v>
      </c>
      <c r="E14" s="18">
        <f>SUM(AllBeds_NonVspHmisParticipation[[#This Row],[Households without Children]:[Households with only Children]])</f>
        <v>346</v>
      </c>
      <c r="I14" s="31" t="s">
        <v>9</v>
      </c>
    </row>
    <row r="15" spans="1:9" ht="17.100000000000001" customHeight="1" x14ac:dyDescent="0.25">
      <c r="A15" s="10" t="s">
        <v>114</v>
      </c>
      <c r="B15" s="18">
        <f>SUMIFS(HicRawData[Beds HH w/o Children],
HicRawData[Project Type],$I$2,
HicRawData[Inventory Type],"C",
HicRawData[HMIS Participating],$I15,
HicRawData[Victim Service Provider],0)</f>
        <v>94</v>
      </c>
      <c r="C15" s="18">
        <f>SUMIFS(HicRawData[Beds HH w/ Children],
HicRawData[Project Type],$I$2,
HicRawData[Inventory Type],"C",
HicRawData[HMIS Participating],$I15,
HicRawData[Victim Service Provider],0)</f>
        <v>103</v>
      </c>
      <c r="D15" s="18">
        <f>SUMIFS(HicRawData[Beds HH w/ only Children],
HicRawData[Project Type],$I$2,
HicRawData[Inventory Type],"C",
HicRawData[HMIS Participating],$I15,
HicRawData[Victim Service Provider],0)</f>
        <v>0</v>
      </c>
      <c r="E15" s="18">
        <f>SUM(AllBeds_NonVspHmisParticipation[[#This Row],[Households without Children]:[Households with only Children]])</f>
        <v>197</v>
      </c>
      <c r="I15" s="31" t="s">
        <v>12</v>
      </c>
    </row>
    <row r="16" spans="1:9" ht="17.100000000000001" customHeight="1" x14ac:dyDescent="0.25">
      <c r="A16" s="10" t="s">
        <v>129</v>
      </c>
      <c r="B16" s="18">
        <f>SUMIFS(HicRawData[Beds HH w/o Children],
HicRawData[Project Type],$I$2,
HicRawData[Inventory Type],"C",
HicRawData[HMIS Participating],$I16,
HicRawData[Victim Service Provider],0)</f>
        <v>0</v>
      </c>
      <c r="C16" s="18">
        <f>SUMIFS(HicRawData[Beds HH w/ Children],
HicRawData[Project Type],$I$2,
HicRawData[Inventory Type],"C",
HicRawData[HMIS Participating],$I16,
HicRawData[Victim Service Provider],0)</f>
        <v>0</v>
      </c>
      <c r="D16" s="18">
        <f>SUMIFS(HicRawData[Beds HH w/ only Children],
HicRawData[Project Type],$I$2,
HicRawData[Inventory Type],"C",
HicRawData[HMIS Participating],$I16,
HicRawData[Victim Service Provider],0)</f>
        <v>0</v>
      </c>
      <c r="E16" s="18">
        <f>SUM(AllBeds_NonVspHmisParticipation[[#This Row],[Households without Children]:[Households with only Children]])</f>
        <v>0</v>
      </c>
      <c r="I16" s="31" t="s">
        <v>115</v>
      </c>
    </row>
    <row r="17" spans="1:9" ht="17.100000000000001" customHeight="1" x14ac:dyDescent="0.25">
      <c r="A17" s="10" t="s">
        <v>100</v>
      </c>
      <c r="B17" s="20">
        <f>SUBTOTAL(109,AllBeds_NonVspHmisParticipation[Households without Children])</f>
        <v>228</v>
      </c>
      <c r="C17" s="20">
        <f>SUBTOTAL(109,AllBeds_NonVspHmisParticipation[Households with Children])</f>
        <v>315</v>
      </c>
      <c r="D17" s="20">
        <f>SUBTOTAL(109,AllBeds_NonVspHmisParticipation[Households with only Children])</f>
        <v>0</v>
      </c>
      <c r="E17" s="20">
        <f>SUBTOTAL(109,AllBeds_NonVspHmisParticipation[Total Year-Round Beds])</f>
        <v>543</v>
      </c>
    </row>
    <row r="18" spans="1:9" ht="15" customHeight="1" x14ac:dyDescent="0.25">
      <c r="A18" s="4" t="s">
        <v>128</v>
      </c>
      <c r="B18" s="19">
        <f>IF(B14=0,"N/A",B14/AllBeds_NonVspHmisParticipation[[#Totals],[Households without Children]])</f>
        <v>0.58771929824561409</v>
      </c>
      <c r="C18" s="19">
        <f>IF(C14=0,"N/A",C14/AllBeds_NonVspHmisParticipation[[#Totals],[Households with Children]])</f>
        <v>0.67301587301587307</v>
      </c>
      <c r="D18" s="19" t="str">
        <f>IF(D14=0,"N/A",D14/AllBeds_NonVspHmisParticipation[[#Totals],[Households with only Children]])</f>
        <v>N/A</v>
      </c>
      <c r="E18" s="19">
        <f>IF(E14=0,"N/A",E14/AllBeds_NonVspHmisParticipation[[#Totals],[Total Year-Round Beds]])</f>
        <v>0.6372007366482505</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32"/>
    </row>
    <row r="21" spans="1:9" ht="17.100000000000001" customHeight="1" x14ac:dyDescent="0.25">
      <c r="A21" s="2" t="s">
        <v>8</v>
      </c>
      <c r="B21" s="22">
        <f>SUMIFS(HicRawData[Beds HH w/o Children],
HicRawData[Project Type],$I$2,
HicRawData[Inventory Type],"C",
HicRawData[Target Population],AllBeds_TargetPopulation[[#This Row],[Beds by Target Population]])</f>
        <v>5</v>
      </c>
      <c r="C21" s="22">
        <f>SUMIFS(HicRawData[Beds HH w/ Children],
HicRawData[Project Type],$I$2,
HicRawData[Inventory Type],"C",
HicRawData[Target Population],AllBeds_TargetPopulation[[#This Row],[Beds by Target Population]])</f>
        <v>42</v>
      </c>
      <c r="D21" s="22">
        <f>SUMIFS(HicRawData[Beds HH w/ only Children],
HicRawData[Project Type],$I$2,
HicRawData[Inventory Type],"C",
HicRawData[Target Population],AllBeds_TargetPopulation[[#This Row],[Beds by Target Population]])</f>
        <v>0</v>
      </c>
      <c r="E21" s="22">
        <f>SUM(AllBeds_TargetPopulation[[#This Row],[Households without Children]:[Households with only Children]])</f>
        <v>47</v>
      </c>
    </row>
    <row r="22" spans="1:9" ht="17.100000000000001" customHeight="1" x14ac:dyDescent="0.25">
      <c r="A22" s="2" t="s">
        <v>10</v>
      </c>
      <c r="B22" s="22">
        <f>SUMIFS(HicRawData[Beds HH w/o Children],
HicRawData[Project Type],$I$2,
HicRawData[Inventory Type],"C",
HicRawData[Target Population],AllBeds_TargetPopulation[[#This Row],[Beds by Target Population]])</f>
        <v>0</v>
      </c>
      <c r="C22" s="22">
        <f>SUMIFS(HicRawData[Beds HH w/ Children],
HicRawData[Project Type],$I$2,
HicRawData[Inventory Type],"C",
HicRawData[Target Population],AllBeds_TargetPopulation[[#This Row],[Beds by Target Population]])</f>
        <v>0</v>
      </c>
      <c r="D22" s="22">
        <f>SUMIFS(HicRawData[Beds HH w/ only Children],
HicRawData[Project Type],$I$2,
HicRawData[Inventory Type],"C",
HicRawData[Target Population],AllBeds_TargetPopulation[[#This Row],[Beds by Target Population]])</f>
        <v>0</v>
      </c>
      <c r="E22" s="22">
        <f>SUM(AllBeds_TargetPopulation[[#This Row],[Households without Children]:[Households with only Children]])</f>
        <v>0</v>
      </c>
    </row>
    <row r="23" spans="1:9" ht="17.100000000000001" customHeight="1" x14ac:dyDescent="0.25">
      <c r="A23" s="2" t="s">
        <v>0</v>
      </c>
      <c r="B23" s="22">
        <f>SUMIFS(HicRawData[Beds HH w/o Children],
HicRawData[Project Type],$I$2,
HicRawData[Inventory Type],"C",
HicRawData[Target Population],AllBeds_TargetPopulation[[#This Row],[Beds by Target Population]])</f>
        <v>228</v>
      </c>
      <c r="C23" s="22">
        <f>SUMIFS(HicRawData[Beds HH w/ Children],
HicRawData[Project Type],$I$2,
HicRawData[Inventory Type],"C",
HicRawData[Target Population],AllBeds_TargetPopulation[[#This Row],[Beds by Target Population]])</f>
        <v>315</v>
      </c>
      <c r="D23" s="22">
        <f>SUMIFS(HicRawData[Beds HH w/ only Children],
HicRawData[Project Type],$I$2,
HicRawData[Inventory Type],"C",
HicRawData[Target Population],AllBeds_TargetPopulation[[#This Row],[Beds by Target Population]])</f>
        <v>0</v>
      </c>
      <c r="E23" s="22">
        <f>SUM(AllBeds_TargetPopulation[[#This Row],[Households without Children]:[Households with only Children]])</f>
        <v>543</v>
      </c>
    </row>
    <row r="24" spans="1:9" ht="15" customHeight="1" x14ac:dyDescent="0.25">
      <c r="A24" s="2" t="s">
        <v>100</v>
      </c>
      <c r="B24" s="23">
        <f>SUBTOTAL(109,AllBeds_TargetPopulation[Households without Children])</f>
        <v>233</v>
      </c>
      <c r="C24" s="23">
        <f>SUBTOTAL(109,AllBeds_TargetPopulation[Households with Children])</f>
        <v>357</v>
      </c>
      <c r="D24" s="23">
        <f>SUBTOTAL(109,AllBeds_TargetPopulation[Households with only Children])</f>
        <v>0</v>
      </c>
      <c r="E24" s="23">
        <f>SUBTOTAL(109,AllBeds_TargetPopulation[Total Year-Round Beds])</f>
        <v>590</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SUMIFS(HicRawData[Beds HH w/o Children],
HicRawData[Project Type],$I$2,
HicRawData[Inventory Type],$I27)</f>
        <v>233</v>
      </c>
      <c r="C27" s="22">
        <f>SUMIFS(HicRawData[Beds HH w/ Children],
HicRawData[Project Type],$I$2,
HicRawData[Inventory Type],$I27)</f>
        <v>357</v>
      </c>
      <c r="D27" s="22">
        <f>SUMIFS(HicRawData[Beds HH w/ only Children],
HicRawData[Project Type],$I$2,
HicRawData[Inventory Type],$I27)</f>
        <v>0</v>
      </c>
      <c r="E27" s="22">
        <f>SUM(AllBeds_InventoryType[[#This Row],[Households without Children]:[Households with only Children]])</f>
        <v>590</v>
      </c>
      <c r="I27" s="31" t="s">
        <v>1</v>
      </c>
    </row>
    <row r="28" spans="1:9" ht="17.100000000000001" customHeight="1" x14ac:dyDescent="0.25">
      <c r="A28" s="2" t="s">
        <v>106</v>
      </c>
      <c r="B28" s="22">
        <f>SUMIFS(HicRawData[Beds HH w/o Children],
HicRawData[Project Type],$I$2,
HicRawData[Inventory Type],$I28)</f>
        <v>0</v>
      </c>
      <c r="C28" s="22">
        <f>SUMIFS(HicRawData[Beds HH w/ Children],
HicRawData[Project Type],$I$2,
HicRawData[Inventory Type],$I28)</f>
        <v>0</v>
      </c>
      <c r="D28" s="22">
        <f>SUMIFS(HicRawData[Beds HH w/ only Children],
HicRawData[Project Type],$I$2,
HicRawData[Inventory Type],$I28)</f>
        <v>0</v>
      </c>
      <c r="E28" s="22">
        <f>SUM(AllBeds_InventoryType[[#This Row],[Households without Children]:[Households with only Children]])</f>
        <v>0</v>
      </c>
      <c r="I28" s="31" t="s">
        <v>6</v>
      </c>
    </row>
    <row r="29" spans="1:9" ht="15" customHeight="1" x14ac:dyDescent="0.25">
      <c r="A29" s="2" t="s">
        <v>100</v>
      </c>
      <c r="B29" s="23">
        <f>SUBTOTAL(109,AllBeds_InventoryType[Households without Children])</f>
        <v>233</v>
      </c>
      <c r="C29" s="23">
        <f>SUBTOTAL(109,AllBeds_InventoryType[Households with Children])</f>
        <v>357</v>
      </c>
      <c r="D29" s="23">
        <f>SUBTOTAL(109,AllBeds_InventoryType[Households with only Children])</f>
        <v>0</v>
      </c>
      <c r="E29" s="23">
        <f>SUBTOTAL(109,AllBeds_InventoryType[Total Year-Round Beds])</f>
        <v>590</v>
      </c>
    </row>
    <row r="30" spans="1:9" ht="15" customHeight="1" x14ac:dyDescent="0.25">
      <c r="B30" s="23"/>
      <c r="C30" s="23"/>
      <c r="D30" s="23"/>
      <c r="E30" s="23"/>
    </row>
    <row r="31" spans="1:9" ht="72" customHeight="1" x14ac:dyDescent="0.25">
      <c r="A31" s="16" t="s">
        <v>110</v>
      </c>
      <c r="B31" s="26" t="s">
        <v>109</v>
      </c>
      <c r="C31" s="26" t="s">
        <v>126</v>
      </c>
      <c r="D31" s="26"/>
      <c r="E31" s="23"/>
      <c r="I31" s="31" t="s">
        <v>84</v>
      </c>
    </row>
    <row r="32" spans="1:9" ht="15" customHeight="1" x14ac:dyDescent="0.25">
      <c r="A32" s="2" t="s">
        <v>107</v>
      </c>
      <c r="B32" s="18">
        <f>SUMIFS(HicRawData[Total Seasonal Beds],
HicRawData[Project Type],$I$2,
HicRawData[Inventory Type],"C",
HicRawData[HMIS Participating],$I32)</f>
        <v>44</v>
      </c>
      <c r="C32" s="22">
        <f>SUMIFS(HicRawData[O/V Beds],
HicRawData[Project Type],$I$2,
HicRawData[Inventory Type],"C",
HicRawData[HMIS Participating],$I32)</f>
        <v>2</v>
      </c>
      <c r="D32" s="25"/>
      <c r="E32" s="23"/>
      <c r="I32" s="31" t="s">
        <v>9</v>
      </c>
    </row>
    <row r="33" spans="1:12" ht="15" customHeight="1" x14ac:dyDescent="0.25">
      <c r="A33" s="2" t="s">
        <v>108</v>
      </c>
      <c r="B33" s="18">
        <f>SUMIFS(HicRawData[Total Seasonal Beds],
HicRawData[Project Type],$I$2,
HicRawData[Inventory Type],"C",
HicRawData[HMIS Participating],$I33)</f>
        <v>0</v>
      </c>
      <c r="C33" s="22">
        <f>SUMIFS(HicRawData[O/V Beds],
HicRawData[Project Type],$I$2,
HicRawData[Inventory Type],"C",
HicRawData[HMIS Participating],$I33)</f>
        <v>0</v>
      </c>
      <c r="D33" s="25"/>
      <c r="E33" s="23"/>
      <c r="F33" s="23"/>
      <c r="I33" s="31" t="s">
        <v>12</v>
      </c>
    </row>
    <row r="34" spans="1:12" ht="15" customHeight="1" x14ac:dyDescent="0.25">
      <c r="A34" s="2" t="s">
        <v>130</v>
      </c>
      <c r="B34" s="18">
        <f>SUMIFS(HicRawData[Total Seasonal Beds],
HicRawData[Project Type],$I$2,
HicRawData[Inventory Type],"C",
HicRawData[HMIS Participating],$I34)</f>
        <v>0</v>
      </c>
      <c r="C34" s="22">
        <f>SUMIFS(HicRawData[O/V Beds],
HicRawData[Project Type],$I$2,
HicRawData[Inventory Type],"C",
HicRawData[HMIS Participating],$I34)</f>
        <v>0</v>
      </c>
      <c r="D34" s="25"/>
      <c r="E34" s="23"/>
      <c r="F34" s="23"/>
      <c r="I34" s="31" t="s">
        <v>115</v>
      </c>
    </row>
    <row r="35" spans="1:12" ht="15" customHeight="1" x14ac:dyDescent="0.25">
      <c r="A35" s="2" t="s">
        <v>100</v>
      </c>
      <c r="B35" s="20">
        <f>SUBTOTAL(109,AllBeds_SeasonalOverflow[Total Seasonal Beds (Regardless of Availability)])</f>
        <v>44</v>
      </c>
      <c r="C35" s="22">
        <f>SUBTOTAL(109,AllBeds_SeasonalOverflow[Total Overflow Beds])</f>
        <v>2</v>
      </c>
      <c r="D35" s="23"/>
      <c r="E35" s="23"/>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SUMIFS(HicRawData[Beds HH w/o Children],
HicRawData[Project Type],$I$2,
HicRawData[Inventory Type],"C",
HicRawData[Project Type], AllBeds_ProjectType[[#This Row],[All Beds by Project Type]])</f>
        <v>80</v>
      </c>
      <c r="C38" s="22">
        <f>SUMIFS(HicRawData[Beds HH w/ Children],
HicRawData[Project Type],$I$2,
HicRawData[Inventory Type],"C",
HicRawData[Project Type], AllBeds_ProjectType[[#This Row],[All Beds by Project Type]])</f>
        <v>156</v>
      </c>
      <c r="D38" s="22">
        <f>SUMIFS(HicRawData[Beds HH w/ only Children],
HicRawData[Project Type],$I$2,
HicRawData[Inventory Type],"C",
HicRawData[Project Type], AllBeds_ProjectType[[#This Row],[All Beds by Project Type]])</f>
        <v>0</v>
      </c>
      <c r="E38" s="22">
        <f>SUM(AllBeds_ProjectType[[#This Row],[Households without Children]:[Households with only Children]])</f>
        <v>236</v>
      </c>
    </row>
    <row r="39" spans="1:12" ht="17.100000000000001" customHeight="1" x14ac:dyDescent="0.25">
      <c r="A39" s="2" t="s">
        <v>2</v>
      </c>
      <c r="B39" s="22">
        <f>SUMIFS(HicRawData[Beds HH w/o Children],
HicRawData[Project Type],$I$2,
HicRawData[Inventory Type],"C",
HicRawData[Project Type], AllBeds_ProjectType[[#This Row],[All Beds by Project Type]])</f>
        <v>3</v>
      </c>
      <c r="C39" s="22">
        <f>SUMIFS(HicRawData[Beds HH w/ Children],
HicRawData[Project Type],$I$2,
HicRawData[Inventory Type],"C",
HicRawData[Project Type], AllBeds_ProjectType[[#This Row],[All Beds by Project Type]])</f>
        <v>38</v>
      </c>
      <c r="D39" s="22">
        <f>SUMIFS(HicRawData[Beds HH w/ only Children],
HicRawData[Project Type],$I$2,
HicRawData[Inventory Type],"C",
HicRawData[Project Type], AllBeds_ProjectType[[#This Row],[All Beds by Project Type]])</f>
        <v>0</v>
      </c>
      <c r="E39" s="22">
        <f>SUM(AllBeds_ProjectType[[#This Row],[Households without Children]:[Households with only Children]])</f>
        <v>41</v>
      </c>
      <c r="H39" s="33"/>
    </row>
    <row r="40" spans="1:12" ht="17.100000000000001" customHeight="1" x14ac:dyDescent="0.25">
      <c r="A40" s="2" t="s">
        <v>11</v>
      </c>
      <c r="B40" s="22">
        <f>SUMIFS(HicRawData[Beds HH w/o Children],
HicRawData[Project Type],$I$2,
HicRawData[Inventory Type],"C",
HicRawData[Project Type], AllBeds_ProjectType[[#This Row],[All Beds by Project Type]])</f>
        <v>0</v>
      </c>
      <c r="C40" s="22">
        <f>SUMIFS(HicRawData[Beds HH w/ Children],
HicRawData[Project Type],$I$2,
HicRawData[Inventory Type],"C",
HicRawData[Project Type], AllBeds_ProjectType[[#This Row],[All Beds by Project Type]])</f>
        <v>0</v>
      </c>
      <c r="D40" s="22">
        <f>SUMIFS(HicRawData[Beds HH w/ only Children],
HicRawData[Project Type],$I$2,
HicRawData[Inventory Type],"C",
HicRawData[Project Type], AllBeds_ProjectType[[#This Row],[All Beds by Project Type]])</f>
        <v>0</v>
      </c>
      <c r="E40" s="22">
        <f>SUM(AllBeds_ProjectType[[#This Row],[Households without Children]:[Households with only Children]])</f>
        <v>0</v>
      </c>
      <c r="H40" s="33"/>
    </row>
    <row r="41" spans="1:12" ht="17.100000000000001" customHeight="1" x14ac:dyDescent="0.25">
      <c r="A41" s="2" t="s">
        <v>4</v>
      </c>
      <c r="B41" s="22">
        <f>SUMIFS(HicRawData[Beds HH w/o Children],
HicRawData[Project Type],$I$2,
HicRawData[Inventory Type],"C",
HicRawData[Project Type], AllBeds_ProjectType[[#This Row],[All Beds by Project Type]])</f>
        <v>26</v>
      </c>
      <c r="C41" s="22">
        <f>SUMIFS(HicRawData[Beds HH w/ Children],
HicRawData[Project Type],$I$2,
HicRawData[Inventory Type],"C",
HicRawData[Project Type], AllBeds_ProjectType[[#This Row],[All Beds by Project Type]])</f>
        <v>62</v>
      </c>
      <c r="D41" s="22">
        <f>SUMIFS(HicRawData[Beds HH w/ only Children],
HicRawData[Project Type],$I$2,
HicRawData[Inventory Type],"C",
HicRawData[Project Type], AllBeds_ProjectType[[#This Row],[All Beds by Project Type]])</f>
        <v>0</v>
      </c>
      <c r="E41" s="22">
        <f>SUM(AllBeds_ProjectType[[#This Row],[Households without Children]:[Households with only Children]])</f>
        <v>88</v>
      </c>
    </row>
    <row r="42" spans="1:12" ht="17.100000000000001" customHeight="1" x14ac:dyDescent="0.25">
      <c r="A42" s="2" t="s">
        <v>5</v>
      </c>
      <c r="B42" s="22">
        <f>SUMIFS(HicRawData[Beds HH w/o Children],
HicRawData[Project Type],$I$2,
HicRawData[Inventory Type],"C",
HicRawData[Project Type], AllBeds_ProjectType[[#This Row],[All Beds by Project Type]])</f>
        <v>115</v>
      </c>
      <c r="C42" s="22">
        <f>SUMIFS(HicRawData[Beds HH w/ Children],
HicRawData[Project Type],$I$2,
HicRawData[Inventory Type],"C",
HicRawData[Project Type], AllBeds_ProjectType[[#This Row],[All Beds by Project Type]])</f>
        <v>101</v>
      </c>
      <c r="D42" s="22">
        <f>SUMIFS(HicRawData[Beds HH w/ only Children],
HicRawData[Project Type],$I$2,
HicRawData[Inventory Type],"C",
HicRawData[Project Type], AllBeds_ProjectType[[#This Row],[All Beds by Project Type]])</f>
        <v>0</v>
      </c>
      <c r="E42" s="22">
        <f>SUM(AllBeds_ProjectType[[#This Row],[Households without Children]:[Households with only Children]])</f>
        <v>216</v>
      </c>
    </row>
    <row r="43" spans="1:12" ht="17.100000000000001" customHeight="1" x14ac:dyDescent="0.25">
      <c r="A43" s="2" t="s">
        <v>7</v>
      </c>
      <c r="B43" s="22">
        <f>SUMIFS(HicRawData[Beds HH w/o Children],
HicRawData[Project Type],$I$2,
HicRawData[Inventory Type],"C",
HicRawData[Project Type], AllBeds_ProjectType[[#This Row],[All Beds by Project Type]])</f>
        <v>9</v>
      </c>
      <c r="C43" s="22">
        <f>SUMIFS(HicRawData[Beds HH w/ Children],
HicRawData[Project Type],$I$2,
HicRawData[Inventory Type],"C",
HicRawData[Project Type], AllBeds_ProjectType[[#This Row],[All Beds by Project Type]])</f>
        <v>0</v>
      </c>
      <c r="D43" s="22">
        <f>SUMIFS(HicRawData[Beds HH w/ only Children],
HicRawData[Project Type],$I$2,
HicRawData[Inventory Type],"C",
HicRawData[Project Type], AllBeds_ProjectType[[#This Row],[All Beds by Project Type]])</f>
        <v>0</v>
      </c>
      <c r="E43" s="22">
        <f>SUM(AllBeds_ProjectType[[#This Row],[Households without Children]:[Households with only Children]])</f>
        <v>9</v>
      </c>
    </row>
    <row r="44" spans="1:12" ht="15" customHeight="1" x14ac:dyDescent="0.25">
      <c r="A44" s="2" t="s">
        <v>100</v>
      </c>
      <c r="B44" s="23">
        <f>SUBTOTAL(109,AllBeds_ProjectType[Households without Children])</f>
        <v>233</v>
      </c>
      <c r="C44" s="23">
        <f>SUBTOTAL(109,AllBeds_ProjectType[Households with Children])</f>
        <v>357</v>
      </c>
      <c r="D44" s="23">
        <f>SUBTOTAL(109,AllBeds_ProjectType[Households with only Children])</f>
        <v>0</v>
      </c>
      <c r="E44" s="23">
        <f>SUBTOTAL(109,AllBeds_ProjectType[Total Year-Round Beds])</f>
        <v>590</v>
      </c>
    </row>
    <row r="45" spans="1:12" ht="15" customHeight="1" x14ac:dyDescent="0.25">
      <c r="B45" s="23"/>
      <c r="C45" s="23"/>
      <c r="D45" s="23"/>
      <c r="E45" s="23"/>
    </row>
    <row r="46" spans="1:12" ht="72" customHeight="1" x14ac:dyDescent="0.25">
      <c r="A46" s="16" t="s">
        <v>125</v>
      </c>
      <c r="B46" s="16" t="s">
        <v>96</v>
      </c>
      <c r="C46" s="16" t="s">
        <v>97</v>
      </c>
      <c r="D46" s="16" t="s">
        <v>98</v>
      </c>
      <c r="E46" s="16" t="s">
        <v>99</v>
      </c>
      <c r="J46" s="34"/>
      <c r="K46" s="34"/>
      <c r="L46" s="12"/>
    </row>
    <row r="47" spans="1:12" ht="17.100000000000001" customHeight="1" x14ac:dyDescent="0.25">
      <c r="A47" s="2" t="s">
        <v>3</v>
      </c>
      <c r="B47" s="22">
        <f>SUMIFS(HicRawData[Beds HH w/o Children],
HicRawData[Project Type],$I$2,
HicRawData[Inventory Type],"C",
HicRawData[Project Type], AllBeds_ProjectTypeHmisParticipation[[#This Row],[HMIS Beds by Project Type]],
HicRawData[HMIS Participating], "Yes")</f>
        <v>72</v>
      </c>
      <c r="C47" s="22">
        <f>SUMIFS(HicRawData[Beds HH w/ Children],
HicRawData[Project Type],$I$2,
HicRawData[Inventory Type],"C",
HicRawData[Project Type], AllBeds_ProjectTypeHmisParticipation[[#This Row],[HMIS Beds by Project Type]],
HicRawData[HMIS Participating], "Yes")</f>
        <v>120</v>
      </c>
      <c r="D47" s="22">
        <f>SUMIFS(HicRawData[Beds HH w/ only Children],
HicRawData[Project Type],$I$2,
HicRawData[Inventory Type],"C",
HicRawData[Project Type], AllBeds_ProjectTypeHmisParticipation[[#This Row],[HMIS Beds by Project Type]],
HicRawData[HMIS Participating], "Yes")</f>
        <v>0</v>
      </c>
      <c r="E47" s="21">
        <f>B47+C47+D47</f>
        <v>192</v>
      </c>
    </row>
    <row r="48" spans="1:12" ht="17.100000000000001" customHeight="1" x14ac:dyDescent="0.25">
      <c r="A48" s="2" t="s">
        <v>2</v>
      </c>
      <c r="B48" s="21">
        <f>SUMIFS(HicRawData[Beds HH w/o Children],
HicRawData[Project Type],$I$2,
HicRawData[Inventory Type],"C",
HicRawData[Project Type], AllBeds_ProjectTypeHmisParticipation[[#This Row],[HMIS Beds by Project Type]],
HicRawData[HMIS Participating], "Yes")</f>
        <v>3</v>
      </c>
      <c r="C48" s="21">
        <f>SUMIFS(HicRawData[Beds HH w/ Children],
HicRawData[Project Type],$I$2,
HicRawData[Inventory Type],"C",
HicRawData[Project Type], AllBeds_ProjectTypeHmisParticipation[[#This Row],[HMIS Beds by Project Type]],
HicRawData[HMIS Participating], "Yes")</f>
        <v>38</v>
      </c>
      <c r="D48" s="21">
        <f>SUMIFS(HicRawData[Beds HH w/ only Children],
HicRawData[Project Type],$I$2,
HicRawData[Inventory Type],"C",
HicRawData[Project Type], AllBeds_ProjectTypeHmisParticipation[[#This Row],[HMIS Beds by Project Type]],
HicRawData[HMIS Participating], "Yes")</f>
        <v>0</v>
      </c>
      <c r="E48" s="21">
        <f t="shared" ref="E48:E52" si="0">B48+C48+D48</f>
        <v>41</v>
      </c>
    </row>
    <row r="49" spans="1:5" ht="17.100000000000001" customHeight="1" x14ac:dyDescent="0.25">
      <c r="A49" s="2" t="s">
        <v>11</v>
      </c>
      <c r="B49" s="21">
        <f>SUMIFS(HicRawData[Beds HH w/o Children],
HicRawData[Project Type],$I$2,
HicRawData[Inventory Type],"C",
HicRawData[Project Type], AllBeds_ProjectTypeHmisParticipation[[#This Row],[HMIS Beds by Project Type]],
HicRawData[HMIS Participating], "Yes")</f>
        <v>0</v>
      </c>
      <c r="C49" s="21">
        <f>SUMIFS(HicRawData[Beds HH w/ Children],
HicRawData[Project Type],$I$2,
HicRawData[Inventory Type],"C",
HicRawData[Project Type], AllBeds_ProjectTypeHmisParticipation[[#This Row],[HMIS Beds by Project Type]],
HicRawData[HMIS Participating], "Yes")</f>
        <v>0</v>
      </c>
      <c r="D49" s="21">
        <f>SUMIFS(HicRawData[Beds HH w/ only Children],
HicRawData[Project Type],$I$2,
HicRawData[Inventory Type],"C",
HicRawData[Project Type], AllBeds_ProjectTypeHmisParticipation[[#This Row],[HMIS Beds by Project Type]],
HicRawData[HMIS Participating], "Yes")</f>
        <v>0</v>
      </c>
      <c r="E49" s="21">
        <f t="shared" si="0"/>
        <v>0</v>
      </c>
    </row>
    <row r="50" spans="1:5" ht="17.100000000000001" customHeight="1" x14ac:dyDescent="0.25">
      <c r="A50" s="2" t="s">
        <v>4</v>
      </c>
      <c r="B50" s="21">
        <f>SUMIFS(HicRawData[Beds HH w/o Children],
HicRawData[Project Type],$I$2,
HicRawData[Inventory Type],"C",
HicRawData[Project Type], AllBeds_ProjectTypeHmisParticipation[[#This Row],[HMIS Beds by Project Type]],
HicRawData[HMIS Participating], "Yes")</f>
        <v>10</v>
      </c>
      <c r="C50" s="21">
        <f>SUMIFS(HicRawData[Beds HH w/ Children],
HicRawData[Project Type],$I$2,
HicRawData[Inventory Type],"C",
HicRawData[Project Type], AllBeds_ProjectTypeHmisParticipation[[#This Row],[HMIS Beds by Project Type]],
HicRawData[HMIS Participating], "Yes")</f>
        <v>28</v>
      </c>
      <c r="D50" s="21">
        <f>SUMIFS(HicRawData[Beds HH w/ only Children],
HicRawData[Project Type],$I$2,
HicRawData[Inventory Type],"C",
HicRawData[Project Type], AllBeds_ProjectTypeHmisParticipation[[#This Row],[HMIS Beds by Project Type]],
HicRawData[HMIS Participating], "Yes")</f>
        <v>0</v>
      </c>
      <c r="E50" s="21">
        <f t="shared" si="0"/>
        <v>38</v>
      </c>
    </row>
    <row r="51" spans="1:5" ht="17.100000000000001" customHeight="1" x14ac:dyDescent="0.25">
      <c r="A51" s="2" t="s">
        <v>5</v>
      </c>
      <c r="B51" s="21">
        <f>SUMIFS(HicRawData[Beds HH w/o Children],
HicRawData[Project Type],$I$2,
HicRawData[Inventory Type],"C",
HicRawData[Project Type], AllBeds_ProjectTypeHmisParticipation[[#This Row],[HMIS Beds by Project Type]],
HicRawData[HMIS Participating], "Yes")</f>
        <v>40</v>
      </c>
      <c r="C51" s="21">
        <f>SUMIFS(HicRawData[Beds HH w/ Children],
HicRawData[Project Type],$I$2,
HicRawData[Inventory Type],"C",
HicRawData[Project Type], AllBeds_ProjectTypeHmisParticipation[[#This Row],[HMIS Beds by Project Type]],
HicRawData[HMIS Participating], "Yes")</f>
        <v>26</v>
      </c>
      <c r="D51" s="21">
        <f>SUMIFS(HicRawData[Beds HH w/ only Children],
HicRawData[Project Type],$I$2,
HicRawData[Inventory Type],"C",
HicRawData[Project Type], AllBeds_ProjectTypeHmisParticipation[[#This Row],[HMIS Beds by Project Type]],
HicRawData[HMIS Participating], "Yes")</f>
        <v>0</v>
      </c>
      <c r="E51" s="21">
        <f t="shared" si="0"/>
        <v>66</v>
      </c>
    </row>
    <row r="52" spans="1:5" ht="17.100000000000001" customHeight="1" x14ac:dyDescent="0.25">
      <c r="A52" s="2" t="s">
        <v>7</v>
      </c>
      <c r="B52" s="21">
        <f>SUMIFS(HicRawData[Beds HH w/o Children],
HicRawData[Project Type],$I$2,
HicRawData[Inventory Type],"C",
HicRawData[Project Type], AllBeds_ProjectTypeHmisParticipation[[#This Row],[HMIS Beds by Project Type]],
HicRawData[HMIS Participating], "Yes")</f>
        <v>9</v>
      </c>
      <c r="C52" s="21">
        <f>SUMIFS(HicRawData[Beds HH w/ Children],
HicRawData[Project Type],$I$2,
HicRawData[Inventory Type],"C",
HicRawData[Project Type], AllBeds_ProjectTypeHmisParticipation[[#This Row],[HMIS Beds by Project Type]],
HicRawData[HMIS Participating], "Yes")</f>
        <v>0</v>
      </c>
      <c r="D52" s="21">
        <f>SUMIFS(HicRawData[Beds HH w/ only Children],
HicRawData[Project Type],$I$2,
HicRawData[Inventory Type],"C",
HicRawData[Project Type], AllBeds_ProjectTypeHmisParticipation[[#This Row],[HMIS Beds by Project Type]],
HicRawData[HMIS Participating], "Yes")</f>
        <v>0</v>
      </c>
      <c r="E52" s="21">
        <f t="shared" si="0"/>
        <v>9</v>
      </c>
    </row>
    <row r="53" spans="1:5" x14ac:dyDescent="0.25">
      <c r="A53" s="2" t="s">
        <v>100</v>
      </c>
      <c r="B53" s="24">
        <f>SUBTOTAL(109,AllBeds_ProjectTypeHmisParticipation[Households without Children])</f>
        <v>134</v>
      </c>
      <c r="C53" s="24">
        <f>SUBTOTAL(109,AllBeds_ProjectTypeHmisParticipation[Households with Children])</f>
        <v>212</v>
      </c>
      <c r="D53" s="24">
        <f>SUBTOTAL(109,AllBeds_ProjectTypeHmisParticipation[Households with only Children])</f>
        <v>0</v>
      </c>
      <c r="E53" s="21">
        <f>SUBTOTAL(109,AllBeds_ProjectTypeHmisParticipation[Total Year-Round Beds])</f>
        <v>346</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8"/>
      <c r="B60" s="9"/>
      <c r="C60" s="1"/>
      <c r="D60" s="1"/>
      <c r="E60" s="1"/>
    </row>
    <row r="61" spans="1:5" x14ac:dyDescent="0.25">
      <c r="A61" s="8"/>
      <c r="B61" s="9"/>
      <c r="C61" s="1"/>
      <c r="D61" s="1"/>
      <c r="E61" s="1"/>
    </row>
    <row r="62" spans="1:5" x14ac:dyDescent="0.25">
      <c r="A62" s="8"/>
      <c r="B62" s="9"/>
      <c r="C62" s="1"/>
      <c r="D62" s="1"/>
      <c r="E62" s="1"/>
    </row>
    <row r="63" spans="1:5" x14ac:dyDescent="0.25">
      <c r="A63" s="8"/>
      <c r="B63" s="9"/>
      <c r="C63" s="1"/>
      <c r="D63" s="1"/>
      <c r="E63" s="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j3HKIXjHk3zH4cywMB5obLKPZLdylE2z1vpqTw/vWf/vX0NBBdT2kR+Byaq/XVlLMNGtrMlRO3P1tNZe3Z1aKg==" saltValue="ioup0TFpOu4gBeYgwQHbBQ==" spinCount="100000" sheet="1" objects="1" scenarios="1"/>
  <conditionalFormatting sqref="A4:G4">
    <cfRule type="expression" dxfId="115"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7">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D319-8C22-4C1D-A954-27103BB2ED14}">
  <sheetPr codeName="Sheet2"/>
  <dimension ref="A1:L97"/>
  <sheetViews>
    <sheetView zoomScaleNormal="100" zoomScaleSheetLayoutView="115" workbookViewId="0"/>
  </sheetViews>
  <sheetFormatPr defaultColWidth="0" defaultRowHeight="15" zeroHeight="1" x14ac:dyDescent="0.25"/>
  <cols>
    <col min="1" max="1" width="31.7109375" style="2" customWidth="1"/>
    <col min="2" max="7" width="16.7109375" style="2" customWidth="1"/>
    <col min="8" max="8" width="9.140625" style="2" hidden="1" customWidth="1"/>
    <col min="9" max="9" width="9.140625" style="31" hidden="1" customWidth="1"/>
    <col min="10" max="10" width="9.140625" style="2" hidden="1" customWidth="1"/>
    <col min="11" max="12" width="0" style="2" hidden="1" customWidth="1"/>
    <col min="13" max="16384" width="9.140625" style="2" hidden="1"/>
  </cols>
  <sheetData>
    <row r="1" spans="1:9" ht="21" customHeight="1" x14ac:dyDescent="0.25">
      <c r="A1" s="27" t="s">
        <v>112</v>
      </c>
      <c r="B1" s="28"/>
      <c r="C1" s="28"/>
      <c r="D1" s="28"/>
      <c r="E1" s="28"/>
      <c r="F1" s="28"/>
      <c r="G1" s="28"/>
      <c r="I1" s="31" t="s">
        <v>86</v>
      </c>
    </row>
    <row r="2" spans="1:9" ht="18" customHeight="1" x14ac:dyDescent="0.25">
      <c r="A2" s="29" t="str">
        <f>CONCATENATE(IF(I2="*","All",I2)," Beds Summary")</f>
        <v>ES Beds Summary</v>
      </c>
      <c r="B2" s="28"/>
      <c r="C2" s="28"/>
      <c r="D2" s="28"/>
      <c r="E2" s="28"/>
      <c r="F2" s="28"/>
      <c r="G2" s="28"/>
      <c r="I2" s="31" t="s">
        <v>3</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G5" s="14"/>
      <c r="H5" s="14"/>
    </row>
    <row r="6" spans="1:9" ht="72" customHeight="1" x14ac:dyDescent="0.25">
      <c r="A6" s="16" t="s">
        <v>102</v>
      </c>
      <c r="B6" s="16" t="s">
        <v>96</v>
      </c>
      <c r="C6" s="16" t="s">
        <v>97</v>
      </c>
      <c r="D6" s="16" t="s">
        <v>98</v>
      </c>
      <c r="E6" s="16" t="s">
        <v>99</v>
      </c>
      <c r="I6" s="31" t="s">
        <v>84</v>
      </c>
    </row>
    <row r="7" spans="1:9" ht="17.100000000000001" customHeight="1" x14ac:dyDescent="0.25">
      <c r="A7" s="10" t="s">
        <v>107</v>
      </c>
      <c r="B7" s="18">
        <f>SUMIFS(HicRawData[Beds HH w/o Children],
HicRawData[Project Type],$I$2,
HicRawData[Inventory Type],"C",
HicRawData[HMIS Participating],$I7)</f>
        <v>72</v>
      </c>
      <c r="C7" s="18">
        <f>SUMIFS(HicRawData[Beds HH w/ Children],
HicRawData[Project Type],$I$2,
HicRawData[Inventory Type],"C",
HicRawData[HMIS Participating],$I7)</f>
        <v>120</v>
      </c>
      <c r="D7" s="18">
        <f>SUMIFS(HicRawData[Beds HH w/ only Children],
HicRawData[Project Type],$I$2,
HicRawData[Inventory Type],"C",
HicRawData[HMIS Participating],$I7)</f>
        <v>0</v>
      </c>
      <c r="E7" s="18">
        <f>SUM(ES_HmisParticipation[[#This Row],[Households without Children]:[Households with only Children]])</f>
        <v>192</v>
      </c>
      <c r="I7" s="31" t="s">
        <v>9</v>
      </c>
    </row>
    <row r="8" spans="1:9" ht="17.100000000000001" customHeight="1" x14ac:dyDescent="0.25">
      <c r="A8" s="10" t="s">
        <v>108</v>
      </c>
      <c r="B8" s="18">
        <f>SUMIFS(HicRawData[Beds HH w/o Children],
HicRawData[Project Type],$I$2,
HicRawData[Inventory Type],"C",
HicRawData[HMIS Participating],$I8)</f>
        <v>5</v>
      </c>
      <c r="C8" s="18">
        <f>SUMIFS(HicRawData[Beds HH w/ Children],
HicRawData[Project Type],$I$2,
HicRawData[Inventory Type],"C",
HicRawData[HMIS Participating],$I8)</f>
        <v>21</v>
      </c>
      <c r="D8" s="18">
        <f>SUMIFS(HicRawData[Beds HH w/ only Children],
HicRawData[Project Type],$I$2,
HicRawData[Inventory Type],"C",
HicRawData[HMIS Participating],$I8)</f>
        <v>0</v>
      </c>
      <c r="E8" s="18">
        <f>SUM(ES_HmisParticipation[[#This Row],[Households without Children]:[Households with only Children]])</f>
        <v>26</v>
      </c>
      <c r="I8" s="31" t="s">
        <v>12</v>
      </c>
    </row>
    <row r="9" spans="1:9" ht="17.100000000000001" customHeight="1" x14ac:dyDescent="0.25">
      <c r="A9" s="10" t="s">
        <v>130</v>
      </c>
      <c r="B9" s="18">
        <f>SUMIFS(HicRawData[Beds HH w/o Children],
HicRawData[Project Type],$I$2,
HicRawData[Inventory Type],"C",
HicRawData[HMIS Participating],$I9)</f>
        <v>3</v>
      </c>
      <c r="C9" s="18">
        <f>SUMIFS(HicRawData[Beds HH w/ Children],
HicRawData[Project Type],$I$2,
HicRawData[Inventory Type],"C",
HicRawData[HMIS Participating],$I9)</f>
        <v>15</v>
      </c>
      <c r="D9" s="18">
        <f>SUMIFS(HicRawData[Beds HH w/ only Children],
HicRawData[Project Type],$I$2,
HicRawData[Inventory Type],"C",
HicRawData[HMIS Participating],$I9)</f>
        <v>0</v>
      </c>
      <c r="E9" s="18">
        <f>SUM(ES_HmisParticipation[[#This Row],[Households without Children]:[Households with only Children]])</f>
        <v>18</v>
      </c>
      <c r="I9" s="31" t="s">
        <v>115</v>
      </c>
    </row>
    <row r="10" spans="1:9" ht="17.100000000000001" customHeight="1" x14ac:dyDescent="0.25">
      <c r="A10" s="2" t="s">
        <v>100</v>
      </c>
      <c r="B10" s="18">
        <f>SUBTOTAL(109,ES_HmisParticipation[Households without Children])</f>
        <v>80</v>
      </c>
      <c r="C10" s="18">
        <f>SUBTOTAL(109,ES_HmisParticipation[Households with Children])</f>
        <v>156</v>
      </c>
      <c r="D10" s="18">
        <f>SUBTOTAL(109,ES_HmisParticipation[Households with only Children])</f>
        <v>0</v>
      </c>
      <c r="E10" s="18">
        <f>SUBTOTAL(109,ES_HmisParticipation[Total Year-Round Beds])</f>
        <v>236</v>
      </c>
    </row>
    <row r="11" spans="1:9" ht="15" customHeight="1" x14ac:dyDescent="0.25">
      <c r="A11" s="4" t="s">
        <v>101</v>
      </c>
      <c r="B11" s="19">
        <f>IF(B7=0,"N/A",B7/ES_HmisParticipation[[#Totals],[Households without Children]])</f>
        <v>0.9</v>
      </c>
      <c r="C11" s="19">
        <f>IF(C7=0,"N/A",C7/ES_HmisParticipation[[#Totals],[Households with Children]])</f>
        <v>0.76923076923076927</v>
      </c>
      <c r="D11" s="19" t="str">
        <f>IF(D7=0,"N/A",D7/ES_HmisParticipation[[#Totals],[Households with only Children]])</f>
        <v>N/A</v>
      </c>
      <c r="E11" s="19">
        <f>IF(E7=0,"N/A",E7/ES_HmisParticipation[[#Totals],[Total Year-Round Beds]])</f>
        <v>0.81355932203389836</v>
      </c>
      <c r="G11" s="30"/>
    </row>
    <row r="12" spans="1:9" ht="15" customHeight="1" x14ac:dyDescent="0.25">
      <c r="A12" s="4"/>
      <c r="B12" s="5"/>
      <c r="C12" s="5"/>
      <c r="D12" s="5"/>
      <c r="E12" s="5"/>
      <c r="G12" s="30"/>
    </row>
    <row r="13" spans="1:9" ht="72" customHeight="1" x14ac:dyDescent="0.25">
      <c r="A13" s="15" t="s">
        <v>127</v>
      </c>
      <c r="B13" s="15" t="s">
        <v>96</v>
      </c>
      <c r="C13" s="15" t="s">
        <v>97</v>
      </c>
      <c r="D13" s="15" t="s">
        <v>98</v>
      </c>
      <c r="E13" s="15" t="s">
        <v>99</v>
      </c>
      <c r="I13" s="31" t="s">
        <v>84</v>
      </c>
    </row>
    <row r="14" spans="1:9" ht="17.100000000000001" customHeight="1" x14ac:dyDescent="0.25">
      <c r="A14" s="10" t="s">
        <v>113</v>
      </c>
      <c r="B14" s="18">
        <f>SUMIFS(HicRawData[Beds HH w/o Children],
HicRawData[Project Type],$I$2,
HicRawData[Inventory Type],"C",
HicRawData[HMIS Participating],$I14,
HicRawData[Victim Service Provider],0)</f>
        <v>72</v>
      </c>
      <c r="C14" s="18">
        <f>SUMIFS(HicRawData[Beds HH w/ Children],
HicRawData[Project Type],$I$2,
HicRawData[Inventory Type],"C",
HicRawData[HMIS Participating],$I14,
HicRawData[Victim Service Provider],0)</f>
        <v>120</v>
      </c>
      <c r="D14" s="18">
        <f>SUMIFS(HicRawData[Beds HH w/ only Children],
HicRawData[Project Type],$I$2,
HicRawData[Inventory Type],"C",
HicRawData[HMIS Participating],$I14,
HicRawData[Victim Service Provider],0)</f>
        <v>0</v>
      </c>
      <c r="E14" s="18">
        <f>SUM(ES_NonVspHmisParticipation[[#This Row],[Households without Children]:[Households with only Children]])</f>
        <v>192</v>
      </c>
      <c r="I14" s="31" t="s">
        <v>9</v>
      </c>
    </row>
    <row r="15" spans="1:9" ht="17.100000000000001" customHeight="1" x14ac:dyDescent="0.25">
      <c r="A15" s="10" t="s">
        <v>114</v>
      </c>
      <c r="B15" s="18">
        <f>SUMIFS(HicRawData[Beds HH w/o Children],
HicRawData[Project Type],$I$2,
HicRawData[Inventory Type],"C",
HicRawData[HMIS Participating],$I15,
HicRawData[Victim Service Provider],0)</f>
        <v>5</v>
      </c>
      <c r="C15" s="18">
        <f>SUMIFS(HicRawData[Beds HH w/ Children],
HicRawData[Project Type],$I$2,
HicRawData[Inventory Type],"C",
HicRawData[HMIS Participating],$I15,
HicRawData[Victim Service Provider],0)</f>
        <v>21</v>
      </c>
      <c r="D15" s="18">
        <f>SUMIFS(HicRawData[Beds HH w/ only Children],
HicRawData[Project Type],$I$2,
HicRawData[Inventory Type],"C",
HicRawData[HMIS Participating],$I15,
HicRawData[Victim Service Provider],0)</f>
        <v>0</v>
      </c>
      <c r="E15" s="18">
        <f>SUM(ES_NonVspHmisParticipation[[#This Row],[Households without Children]:[Households with only Children]])</f>
        <v>26</v>
      </c>
      <c r="I15" s="31" t="s">
        <v>12</v>
      </c>
    </row>
    <row r="16" spans="1:9" ht="17.100000000000001" customHeight="1" x14ac:dyDescent="0.25">
      <c r="A16" s="10" t="s">
        <v>129</v>
      </c>
      <c r="B16" s="18">
        <f>SUMIFS(HicRawData[Beds HH w/o Children],
HicRawData[Project Type],$I$2,
HicRawData[Inventory Type],"C",
HicRawData[HMIS Participating],$I16,
HicRawData[Victim Service Provider],0)</f>
        <v>0</v>
      </c>
      <c r="C16" s="18">
        <f>SUMIFS(HicRawData[Beds HH w/ Children],
HicRawData[Project Type],$I$2,
HicRawData[Inventory Type],"C",
HicRawData[HMIS Participating],$I16,
HicRawData[Victim Service Provider],0)</f>
        <v>0</v>
      </c>
      <c r="D16" s="18">
        <f>SUMIFS(HicRawData[Beds HH w/ only Children],
HicRawData[Project Type],$I$2,
HicRawData[Inventory Type],"C",
HicRawData[HMIS Participating],$I16,
HicRawData[Victim Service Provider],0)</f>
        <v>0</v>
      </c>
      <c r="E16" s="18">
        <f>SUM(ES_NonVspHmisParticipation[[#This Row],[Households without Children]:[Households with only Children]])</f>
        <v>0</v>
      </c>
      <c r="I16" s="31" t="s">
        <v>115</v>
      </c>
    </row>
    <row r="17" spans="1:9" ht="17.100000000000001" customHeight="1" x14ac:dyDescent="0.25">
      <c r="A17" s="10" t="s">
        <v>100</v>
      </c>
      <c r="B17" s="20">
        <f>SUBTOTAL(109,ES_NonVspHmisParticipation[Households without Children])</f>
        <v>77</v>
      </c>
      <c r="C17" s="20">
        <f>SUBTOTAL(109,ES_NonVspHmisParticipation[Households with Children])</f>
        <v>141</v>
      </c>
      <c r="D17" s="20">
        <f>SUBTOTAL(109,ES_NonVspHmisParticipation[Households with only Children])</f>
        <v>0</v>
      </c>
      <c r="E17" s="20">
        <f>SUBTOTAL(109,ES_NonVspHmisParticipation[Total Year-Round Beds])</f>
        <v>218</v>
      </c>
    </row>
    <row r="18" spans="1:9" ht="15" customHeight="1" x14ac:dyDescent="0.25">
      <c r="A18" s="4" t="s">
        <v>128</v>
      </c>
      <c r="B18" s="19">
        <f>IF(B14=0,"N/A",B14/ES_NonVspHmisParticipation[[#Totals],[Households without Children]])</f>
        <v>0.93506493506493504</v>
      </c>
      <c r="C18" s="19">
        <f>IF(C14=0,"N/A",C14/ES_NonVspHmisParticipation[[#Totals],[Households with Children]])</f>
        <v>0.85106382978723405</v>
      </c>
      <c r="D18" s="19" t="str">
        <f>IF(D14=0,"N/A",D14/ES_NonVspHmisParticipation[[#Totals],[Households with only Children]])</f>
        <v>N/A</v>
      </c>
      <c r="E18" s="19">
        <f>IF(E14=0,"N/A",E14/ES_NonVspHmisParticipation[[#Totals],[Total Year-Round Beds]])</f>
        <v>0.88073394495412849</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14"/>
    </row>
    <row r="21" spans="1:9" ht="17.100000000000001" customHeight="1" x14ac:dyDescent="0.25">
      <c r="A21" s="2" t="s">
        <v>8</v>
      </c>
      <c r="B21" s="22">
        <f>SUMIFS(HicRawData[Beds HH w/o Children],
HicRawData[Project Type],$I$2,
HicRawData[Inventory Type],"C",
HicRawData[Target Population],ES_TargetPopulation[[#This Row],[Beds by Target Population]])</f>
        <v>3</v>
      </c>
      <c r="C21" s="22">
        <f>SUMIFS(HicRawData[Beds HH w/ Children],
HicRawData[Project Type],$I$2,
HicRawData[Inventory Type],"C",
HicRawData[Target Population],ES_TargetPopulation[[#This Row],[Beds by Target Population]])</f>
        <v>15</v>
      </c>
      <c r="D21" s="22">
        <f>SUMIFS(HicRawData[Beds HH w/ only Children],
HicRawData[Project Type],$I$2,
HicRawData[Inventory Type],"C",
HicRawData[Target Population],ES_TargetPopulation[[#This Row],[Beds by Target Population]])</f>
        <v>0</v>
      </c>
      <c r="E21" s="22">
        <f>SUM(ES_TargetPopulation[[#This Row],[Households without Children]:[Households with only Children]])</f>
        <v>18</v>
      </c>
    </row>
    <row r="22" spans="1:9" ht="17.100000000000001" customHeight="1" x14ac:dyDescent="0.25">
      <c r="A22" s="2" t="s">
        <v>10</v>
      </c>
      <c r="B22" s="22">
        <f>SUMIFS(HicRawData[Beds HH w/o Children],
HicRawData[Project Type],$I$2,
HicRawData[Inventory Type],"C",
HicRawData[Target Population],ES_TargetPopulation[[#This Row],[Beds by Target Population]])</f>
        <v>0</v>
      </c>
      <c r="C22" s="22">
        <f>SUMIFS(HicRawData[Beds HH w/ Children],
HicRawData[Project Type],$I$2,
HicRawData[Inventory Type],"C",
HicRawData[Target Population],ES_TargetPopulation[[#This Row],[Beds by Target Population]])</f>
        <v>0</v>
      </c>
      <c r="D22" s="22">
        <f>SUMIFS(HicRawData[Beds HH w/ only Children],
HicRawData[Project Type],$I$2,
HicRawData[Inventory Type],"C",
HicRawData[Target Population],ES_TargetPopulation[[#This Row],[Beds by Target Population]])</f>
        <v>0</v>
      </c>
      <c r="E22" s="22">
        <f>SUM(ES_TargetPopulation[[#This Row],[Households without Children]:[Households with only Children]])</f>
        <v>0</v>
      </c>
    </row>
    <row r="23" spans="1:9" ht="17.100000000000001" customHeight="1" x14ac:dyDescent="0.25">
      <c r="A23" s="2" t="s">
        <v>0</v>
      </c>
      <c r="B23" s="22">
        <f>SUMIFS(HicRawData[Beds HH w/o Children],
HicRawData[Project Type],$I$2,
HicRawData[Inventory Type],"C",
HicRawData[Target Population],ES_TargetPopulation[[#This Row],[Beds by Target Population]])</f>
        <v>77</v>
      </c>
      <c r="C23" s="22">
        <f>SUMIFS(HicRawData[Beds HH w/ Children],
HicRawData[Project Type],$I$2,
HicRawData[Inventory Type],"C",
HicRawData[Target Population],ES_TargetPopulation[[#This Row],[Beds by Target Population]])</f>
        <v>141</v>
      </c>
      <c r="D23" s="22">
        <f>SUMIFS(HicRawData[Beds HH w/ only Children],
HicRawData[Project Type],$I$2,
HicRawData[Inventory Type],"C",
HicRawData[Target Population],ES_TargetPopulation[[#This Row],[Beds by Target Population]])</f>
        <v>0</v>
      </c>
      <c r="E23" s="22">
        <f>SUM(ES_TargetPopulation[[#This Row],[Households without Children]:[Households with only Children]])</f>
        <v>218</v>
      </c>
    </row>
    <row r="24" spans="1:9" ht="15" customHeight="1" x14ac:dyDescent="0.25">
      <c r="A24" s="2" t="s">
        <v>100</v>
      </c>
      <c r="B24" s="23">
        <f>SUBTOTAL(109,ES_TargetPopulation[Households without Children])</f>
        <v>80</v>
      </c>
      <c r="C24" s="23">
        <f>SUBTOTAL(109,ES_TargetPopulation[Households with Children])</f>
        <v>156</v>
      </c>
      <c r="D24" s="23">
        <f>SUBTOTAL(109,ES_TargetPopulation[Households with only Children])</f>
        <v>0</v>
      </c>
      <c r="E24" s="23">
        <f>SUBTOTAL(109,ES_TargetPopulation[Total Year-Round Beds])</f>
        <v>236</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SUMIFS(HicRawData[Beds HH w/o Children],
HicRawData[Project Type],$I$2,
HicRawData[Inventory Type],$I27)</f>
        <v>80</v>
      </c>
      <c r="C27" s="22">
        <f>SUMIFS(HicRawData[Beds HH w/ Children],
HicRawData[Project Type],$I$2,
HicRawData[Inventory Type],$I27)</f>
        <v>156</v>
      </c>
      <c r="D27" s="22">
        <f>SUMIFS(HicRawData[Beds HH w/ only Children],
HicRawData[Project Type],$I$2,
HicRawData[Inventory Type],$I27)</f>
        <v>0</v>
      </c>
      <c r="E27" s="22">
        <f>SUM(ES_InventoryType[[#This Row],[Households without Children]:[Households with only Children]])</f>
        <v>236</v>
      </c>
      <c r="I27" s="31" t="s">
        <v>1</v>
      </c>
    </row>
    <row r="28" spans="1:9" ht="17.100000000000001" customHeight="1" x14ac:dyDescent="0.25">
      <c r="A28" s="2" t="s">
        <v>106</v>
      </c>
      <c r="B28" s="22">
        <f>SUMIFS(HicRawData[Beds HH w/o Children],
HicRawData[Project Type],$I$2,
HicRawData[Inventory Type],$I28)</f>
        <v>0</v>
      </c>
      <c r="C28" s="22">
        <f>SUMIFS(HicRawData[Beds HH w/ Children],
HicRawData[Project Type],$I$2,
HicRawData[Inventory Type],$I28)</f>
        <v>0</v>
      </c>
      <c r="D28" s="22">
        <f>SUMIFS(HicRawData[Beds HH w/ only Children],
HicRawData[Project Type],$I$2,
HicRawData[Inventory Type],$I28)</f>
        <v>0</v>
      </c>
      <c r="E28" s="22">
        <f>SUM(ES_InventoryType[[#This Row],[Households without Children]:[Households with only Children]])</f>
        <v>0</v>
      </c>
      <c r="I28" s="31" t="s">
        <v>6</v>
      </c>
    </row>
    <row r="29" spans="1:9" ht="15" customHeight="1" x14ac:dyDescent="0.25">
      <c r="A29" s="2" t="s">
        <v>100</v>
      </c>
      <c r="B29" s="23">
        <f>SUBTOTAL(109,ES_InventoryType[Households without Children])</f>
        <v>80</v>
      </c>
      <c r="C29" s="23">
        <f>SUBTOTAL(109,ES_InventoryType[Households with Children])</f>
        <v>156</v>
      </c>
      <c r="D29" s="23">
        <f>SUBTOTAL(109,ES_InventoryType[Households with only Children])</f>
        <v>0</v>
      </c>
      <c r="E29" s="23">
        <f>SUBTOTAL(109,ES_InventoryType[Total Year-Round Beds])</f>
        <v>236</v>
      </c>
    </row>
    <row r="30" spans="1:9" ht="15" customHeight="1" x14ac:dyDescent="0.25">
      <c r="B30" s="23"/>
      <c r="C30" s="23"/>
      <c r="D30" s="23"/>
      <c r="E30" s="23"/>
    </row>
    <row r="31" spans="1:9" ht="72" customHeight="1" x14ac:dyDescent="0.25">
      <c r="A31" s="16" t="s">
        <v>110</v>
      </c>
      <c r="B31" s="26" t="s">
        <v>109</v>
      </c>
      <c r="C31" s="26" t="s">
        <v>126</v>
      </c>
      <c r="D31" s="26"/>
      <c r="E31" s="23"/>
      <c r="I31" s="31" t="s">
        <v>84</v>
      </c>
    </row>
    <row r="32" spans="1:9" ht="15" customHeight="1" x14ac:dyDescent="0.25">
      <c r="A32" s="2" t="s">
        <v>107</v>
      </c>
      <c r="B32" s="18">
        <f>SUMIFS(HicRawData[Total Seasonal Beds],
HicRawData[Project Type],$I$2,
HicRawData[Inventory Type],"C",
HicRawData[HMIS Participating],$I32)</f>
        <v>44</v>
      </c>
      <c r="C32" s="22">
        <f>SUMIFS(HicRawData[O/V Beds],
HicRawData[Project Type],$I$2,
HicRawData[Inventory Type],"C",
HicRawData[HMIS Participating],$I32)</f>
        <v>2</v>
      </c>
      <c r="D32" s="25"/>
      <c r="E32" s="23"/>
      <c r="I32" s="31" t="s">
        <v>9</v>
      </c>
    </row>
    <row r="33" spans="1:12" ht="15" customHeight="1" x14ac:dyDescent="0.25">
      <c r="A33" s="2" t="s">
        <v>108</v>
      </c>
      <c r="B33" s="18">
        <f>SUMIFS(HicRawData[Total Seasonal Beds],
HicRawData[Project Type],$I$2,
HicRawData[Inventory Type],"C",
HicRawData[HMIS Participating],$I33)</f>
        <v>0</v>
      </c>
      <c r="C33" s="22">
        <f>SUMIFS(HicRawData[O/V Beds],
HicRawData[Project Type],$I$2,
HicRawData[Inventory Type],"C",
HicRawData[HMIS Participating],$I33)</f>
        <v>0</v>
      </c>
      <c r="D33" s="25"/>
      <c r="E33" s="23"/>
      <c r="F33" s="23"/>
      <c r="I33" s="31" t="s">
        <v>12</v>
      </c>
      <c r="J33" s="3"/>
    </row>
    <row r="34" spans="1:12" ht="15" customHeight="1" x14ac:dyDescent="0.25">
      <c r="A34" s="2" t="s">
        <v>130</v>
      </c>
      <c r="B34" s="18">
        <f>SUMIFS(HicRawData[Total Seasonal Beds],
HicRawData[Project Type],$I$2,
HicRawData[Inventory Type],"C",
HicRawData[HMIS Participating],$I34)</f>
        <v>0</v>
      </c>
      <c r="C34" s="22">
        <f>SUMIFS(HicRawData[O/V Beds],
HicRawData[Project Type],$I$2,
HicRawData[Inventory Type],"C",
HicRawData[HMIS Participating],$I34)</f>
        <v>0</v>
      </c>
      <c r="D34" s="25"/>
      <c r="E34" s="23"/>
      <c r="F34" s="23"/>
      <c r="I34" s="31" t="s">
        <v>115</v>
      </c>
      <c r="J34" s="3"/>
    </row>
    <row r="35" spans="1:12" ht="15" customHeight="1" x14ac:dyDescent="0.25">
      <c r="A35" s="2" t="s">
        <v>100</v>
      </c>
      <c r="B35" s="20">
        <f>SUBTOTAL(109,ES_SeasonalOverflow[Total Seasonal Beds (Regardless of Availability)])</f>
        <v>44</v>
      </c>
      <c r="C35" s="22">
        <f>SUBTOTAL(109,ES_SeasonalOverflow[Total Overflow Beds])</f>
        <v>2</v>
      </c>
      <c r="D35" s="23"/>
      <c r="E35" s="23"/>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SUMIFS(HicRawData[Beds HH w/o Children],
HicRawData[Project Type],$I$2,
HicRawData[Inventory Type],"C",
HicRawData[Project Type], ES_ProjectType[[#This Row],[All Beds by Project Type]])</f>
        <v>80</v>
      </c>
      <c r="C38" s="22">
        <f>SUMIFS(HicRawData[Beds HH w/ Children],
HicRawData[Project Type],$I$2,
HicRawData[Inventory Type],"C",
HicRawData[Project Type], ES_ProjectType[[#This Row],[All Beds by Project Type]])</f>
        <v>156</v>
      </c>
      <c r="D38" s="22">
        <f>SUMIFS(HicRawData[Beds HH w/ only Children],
HicRawData[Project Type],$I$2,
HicRawData[Inventory Type],"C",
HicRawData[Project Type], ES_ProjectType[[#This Row],[All Beds by Project Type]])</f>
        <v>0</v>
      </c>
      <c r="E38" s="22">
        <f>SUM(ES_ProjectType[[#This Row],[Households without Children]:[Households with only Children]])</f>
        <v>236</v>
      </c>
    </row>
    <row r="39" spans="1:12" ht="17.100000000000001" customHeight="1" x14ac:dyDescent="0.25">
      <c r="A39" s="2" t="s">
        <v>2</v>
      </c>
      <c r="B39" s="22">
        <f>SUMIFS(HicRawData[Beds HH w/o Children],
HicRawData[Project Type],$I$2,
HicRawData[Inventory Type],"C",
HicRawData[Project Type], ES_ProjectType[[#This Row],[All Beds by Project Type]])</f>
        <v>0</v>
      </c>
      <c r="C39" s="22">
        <f>SUMIFS(HicRawData[Beds HH w/ Children],
HicRawData[Project Type],$I$2,
HicRawData[Inventory Type],"C",
HicRawData[Project Type], ES_ProjectType[[#This Row],[All Beds by Project Type]])</f>
        <v>0</v>
      </c>
      <c r="D39" s="22">
        <f>SUMIFS(HicRawData[Beds HH w/ only Children],
HicRawData[Project Type],$I$2,
HicRawData[Inventory Type],"C",
HicRawData[Project Type], ES_ProjectType[[#This Row],[All Beds by Project Type]])</f>
        <v>0</v>
      </c>
      <c r="E39" s="22">
        <f>SUM(ES_ProjectType[[#This Row],[Households without Children]:[Households with only Children]])</f>
        <v>0</v>
      </c>
      <c r="H39" s="6"/>
    </row>
    <row r="40" spans="1:12" ht="17.100000000000001" customHeight="1" x14ac:dyDescent="0.25">
      <c r="A40" s="2" t="s">
        <v>11</v>
      </c>
      <c r="B40" s="22">
        <f>SUMIFS(HicRawData[Beds HH w/o Children],
HicRawData[Project Type],$I$2,
HicRawData[Inventory Type],"C",
HicRawData[Project Type], ES_ProjectType[[#This Row],[All Beds by Project Type]])</f>
        <v>0</v>
      </c>
      <c r="C40" s="22">
        <f>SUMIFS(HicRawData[Beds HH w/ Children],
HicRawData[Project Type],$I$2,
HicRawData[Inventory Type],"C",
HicRawData[Project Type], ES_ProjectType[[#This Row],[All Beds by Project Type]])</f>
        <v>0</v>
      </c>
      <c r="D40" s="22">
        <f>SUMIFS(HicRawData[Beds HH w/ only Children],
HicRawData[Project Type],$I$2,
HicRawData[Inventory Type],"C",
HicRawData[Project Type], ES_ProjectType[[#This Row],[All Beds by Project Type]])</f>
        <v>0</v>
      </c>
      <c r="E40" s="22">
        <f>SUM(ES_ProjectType[[#This Row],[Households without Children]:[Households with only Children]])</f>
        <v>0</v>
      </c>
      <c r="H40" s="6"/>
    </row>
    <row r="41" spans="1:12" ht="17.100000000000001" customHeight="1" x14ac:dyDescent="0.25">
      <c r="A41" s="2" t="s">
        <v>4</v>
      </c>
      <c r="B41" s="22">
        <f>SUMIFS(HicRawData[Beds HH w/o Children],
HicRawData[Project Type],$I$2,
HicRawData[Inventory Type],"C",
HicRawData[Project Type], ES_ProjectType[[#This Row],[All Beds by Project Type]])</f>
        <v>0</v>
      </c>
      <c r="C41" s="22">
        <f>SUMIFS(HicRawData[Beds HH w/ Children],
HicRawData[Project Type],$I$2,
HicRawData[Inventory Type],"C",
HicRawData[Project Type], ES_ProjectType[[#This Row],[All Beds by Project Type]])</f>
        <v>0</v>
      </c>
      <c r="D41" s="22">
        <f>SUMIFS(HicRawData[Beds HH w/ only Children],
HicRawData[Project Type],$I$2,
HicRawData[Inventory Type],"C",
HicRawData[Project Type], ES_ProjectType[[#This Row],[All Beds by Project Type]])</f>
        <v>0</v>
      </c>
      <c r="E41" s="22">
        <f>SUM(ES_ProjectType[[#This Row],[Households without Children]:[Households with only Children]])</f>
        <v>0</v>
      </c>
    </row>
    <row r="42" spans="1:12" ht="17.100000000000001" customHeight="1" x14ac:dyDescent="0.25">
      <c r="A42" s="2" t="s">
        <v>5</v>
      </c>
      <c r="B42" s="22">
        <f>SUMIFS(HicRawData[Beds HH w/o Children],
HicRawData[Project Type],$I$2,
HicRawData[Inventory Type],"C",
HicRawData[Project Type], ES_ProjectType[[#This Row],[All Beds by Project Type]])</f>
        <v>0</v>
      </c>
      <c r="C42" s="22">
        <f>SUMIFS(HicRawData[Beds HH w/ Children],
HicRawData[Project Type],$I$2,
HicRawData[Inventory Type],"C",
HicRawData[Project Type], ES_ProjectType[[#This Row],[All Beds by Project Type]])</f>
        <v>0</v>
      </c>
      <c r="D42" s="22">
        <f>SUMIFS(HicRawData[Beds HH w/ only Children],
HicRawData[Project Type],$I$2,
HicRawData[Inventory Type],"C",
HicRawData[Project Type], ES_ProjectType[[#This Row],[All Beds by Project Type]])</f>
        <v>0</v>
      </c>
      <c r="E42" s="22">
        <f>SUM(ES_ProjectType[[#This Row],[Households without Children]:[Households with only Children]])</f>
        <v>0</v>
      </c>
    </row>
    <row r="43" spans="1:12" ht="17.100000000000001" customHeight="1" x14ac:dyDescent="0.25">
      <c r="A43" s="2" t="s">
        <v>7</v>
      </c>
      <c r="B43" s="22">
        <f>SUMIFS(HicRawData[Beds HH w/o Children],
HicRawData[Project Type],$I$2,
HicRawData[Inventory Type],"C",
HicRawData[Project Type], ES_ProjectType[[#This Row],[All Beds by Project Type]])</f>
        <v>0</v>
      </c>
      <c r="C43" s="22">
        <f>SUMIFS(HicRawData[Beds HH w/ Children],
HicRawData[Project Type],$I$2,
HicRawData[Inventory Type],"C",
HicRawData[Project Type], ES_ProjectType[[#This Row],[All Beds by Project Type]])</f>
        <v>0</v>
      </c>
      <c r="D43" s="22">
        <f>SUMIFS(HicRawData[Beds HH w/ only Children],
HicRawData[Project Type],$I$2,
HicRawData[Inventory Type],"C",
HicRawData[Project Type], ES_ProjectType[[#This Row],[All Beds by Project Type]])</f>
        <v>0</v>
      </c>
      <c r="E43" s="22">
        <f>SUM(ES_ProjectType[[#This Row],[Households without Children]:[Households with only Children]])</f>
        <v>0</v>
      </c>
    </row>
    <row r="44" spans="1:12" ht="15" customHeight="1" x14ac:dyDescent="0.25">
      <c r="A44" s="2" t="s">
        <v>100</v>
      </c>
      <c r="B44" s="23">
        <f>SUBTOTAL(109,ES_ProjectType[Households without Children])</f>
        <v>80</v>
      </c>
      <c r="C44" s="23">
        <f>SUBTOTAL(109,ES_ProjectType[Households with Children])</f>
        <v>156</v>
      </c>
      <c r="D44" s="23">
        <f>SUBTOTAL(109,ES_ProjectType[Households with only Children])</f>
        <v>0</v>
      </c>
      <c r="E44" s="23">
        <f>SUBTOTAL(109,ES_ProjectType[Total Year-Round Beds])</f>
        <v>236</v>
      </c>
    </row>
    <row r="45" spans="1:12" ht="15" customHeight="1" x14ac:dyDescent="0.25">
      <c r="B45" s="23"/>
      <c r="C45" s="23"/>
      <c r="D45" s="23"/>
      <c r="E45" s="23"/>
    </row>
    <row r="46" spans="1:12" ht="72" customHeight="1" x14ac:dyDescent="0.25">
      <c r="A46" s="16" t="s">
        <v>125</v>
      </c>
      <c r="B46" s="16" t="s">
        <v>96</v>
      </c>
      <c r="C46" s="16" t="s">
        <v>97</v>
      </c>
      <c r="D46" s="16" t="s">
        <v>98</v>
      </c>
      <c r="E46" s="16" t="s">
        <v>99</v>
      </c>
      <c r="J46" s="12"/>
      <c r="K46" s="12"/>
      <c r="L46" s="12"/>
    </row>
    <row r="47" spans="1:12" ht="17.100000000000001" customHeight="1" x14ac:dyDescent="0.25">
      <c r="A47" s="2" t="s">
        <v>3</v>
      </c>
      <c r="B47" s="22">
        <f>SUMIFS(HicRawData[Beds HH w/o Children],
HicRawData[Project Type],$I$2,
HicRawData[Inventory Type],"C",
HicRawData[Project Type], ES_ProjectTypeHmisParticipation[[#This Row],[HMIS Beds by Project Type]],
HicRawData[HMIS Participating], "Yes")</f>
        <v>72</v>
      </c>
      <c r="C47" s="22">
        <f>SUMIFS(HicRawData[Beds HH w/ Children],
HicRawData[Project Type],$I$2,
HicRawData[Inventory Type],"C",
HicRawData[Project Type], ES_ProjectTypeHmisParticipation[[#This Row],[HMIS Beds by Project Type]],
HicRawData[HMIS Participating], "Yes")</f>
        <v>120</v>
      </c>
      <c r="D47" s="22">
        <f>SUMIFS(HicRawData[Beds HH w/ only Children],
HicRawData[Project Type],$I$2,
HicRawData[Inventory Type],"C",
HicRawData[Project Type], ES_ProjectTypeHmisParticipation[[#This Row],[HMIS Beds by Project Type]],
HicRawData[HMIS Participating], "Yes")</f>
        <v>0</v>
      </c>
      <c r="E47" s="21">
        <f>B47+C47+D47</f>
        <v>192</v>
      </c>
    </row>
    <row r="48" spans="1:12" ht="17.100000000000001" customHeight="1" x14ac:dyDescent="0.25">
      <c r="A48" s="2" t="s">
        <v>2</v>
      </c>
      <c r="B48" s="21">
        <f>SUMIFS(HicRawData[Beds HH w/o Children],
HicRawData[Project Type],$I$2,
HicRawData[Inventory Type],"C",
HicRawData[Project Type], ES_ProjectTypeHmisParticipation[[#This Row],[HMIS Beds by Project Type]],
HicRawData[HMIS Participating], "Yes")</f>
        <v>0</v>
      </c>
      <c r="C48" s="21">
        <f>SUMIFS(HicRawData[Beds HH w/ Children],
HicRawData[Project Type],$I$2,
HicRawData[Inventory Type],"C",
HicRawData[Project Type], ES_ProjectTypeHmisParticipation[[#This Row],[HMIS Beds by Project Type]],
HicRawData[HMIS Participating], "Yes")</f>
        <v>0</v>
      </c>
      <c r="D48" s="21">
        <f>SUMIFS(HicRawData[Beds HH w/ only Children],
HicRawData[Project Type],$I$2,
HicRawData[Inventory Type],"C",
HicRawData[Project Type], ES_ProjectTypeHmisParticipation[[#This Row],[HMIS Beds by Project Type]],
HicRawData[HMIS Participating], "Yes")</f>
        <v>0</v>
      </c>
      <c r="E48" s="21">
        <f t="shared" ref="E48:E52" si="0">B48+C48+D48</f>
        <v>0</v>
      </c>
    </row>
    <row r="49" spans="1:5" ht="17.100000000000001" customHeight="1" x14ac:dyDescent="0.25">
      <c r="A49" s="2" t="s">
        <v>11</v>
      </c>
      <c r="B49" s="21">
        <f>SUMIFS(HicRawData[Beds HH w/o Children],
HicRawData[Project Type],$I$2,
HicRawData[Inventory Type],"C",
HicRawData[Project Type], ES_ProjectTypeHmisParticipation[[#This Row],[HMIS Beds by Project Type]],
HicRawData[HMIS Participating], "Yes")</f>
        <v>0</v>
      </c>
      <c r="C49" s="21">
        <f>SUMIFS(HicRawData[Beds HH w/ Children],
HicRawData[Project Type],$I$2,
HicRawData[Inventory Type],"C",
HicRawData[Project Type], ES_ProjectTypeHmisParticipation[[#This Row],[HMIS Beds by Project Type]],
HicRawData[HMIS Participating], "Yes")</f>
        <v>0</v>
      </c>
      <c r="D49" s="21">
        <f>SUMIFS(HicRawData[Beds HH w/ only Children],
HicRawData[Project Type],$I$2,
HicRawData[Inventory Type],"C",
HicRawData[Project Type], ES_ProjectTypeHmisParticipation[[#This Row],[HMIS Beds by Project Type]],
HicRawData[HMIS Participating], "Yes")</f>
        <v>0</v>
      </c>
      <c r="E49" s="21">
        <f t="shared" si="0"/>
        <v>0</v>
      </c>
    </row>
    <row r="50" spans="1:5" ht="17.100000000000001" customHeight="1" x14ac:dyDescent="0.25">
      <c r="A50" s="2" t="s">
        <v>4</v>
      </c>
      <c r="B50" s="21">
        <f>SUMIFS(HicRawData[Beds HH w/o Children],
HicRawData[Project Type],$I$2,
HicRawData[Inventory Type],"C",
HicRawData[Project Type], ES_ProjectTypeHmisParticipation[[#This Row],[HMIS Beds by Project Type]],
HicRawData[HMIS Participating], "Yes")</f>
        <v>0</v>
      </c>
      <c r="C50" s="21">
        <f>SUMIFS(HicRawData[Beds HH w/ Children],
HicRawData[Project Type],$I$2,
HicRawData[Inventory Type],"C",
HicRawData[Project Type], ES_ProjectTypeHmisParticipation[[#This Row],[HMIS Beds by Project Type]],
HicRawData[HMIS Participating], "Yes")</f>
        <v>0</v>
      </c>
      <c r="D50" s="21">
        <f>SUMIFS(HicRawData[Beds HH w/ only Children],
HicRawData[Project Type],$I$2,
HicRawData[Inventory Type],"C",
HicRawData[Project Type], ES_ProjectTypeHmisParticipation[[#This Row],[HMIS Beds by Project Type]],
HicRawData[HMIS Participating], "Yes")</f>
        <v>0</v>
      </c>
      <c r="E50" s="21">
        <f t="shared" si="0"/>
        <v>0</v>
      </c>
    </row>
    <row r="51" spans="1:5" ht="17.100000000000001" customHeight="1" x14ac:dyDescent="0.25">
      <c r="A51" s="2" t="s">
        <v>5</v>
      </c>
      <c r="B51" s="21">
        <f>SUMIFS(HicRawData[Beds HH w/o Children],
HicRawData[Project Type],$I$2,
HicRawData[Inventory Type],"C",
HicRawData[Project Type], ES_ProjectTypeHmisParticipation[[#This Row],[HMIS Beds by Project Type]],
HicRawData[HMIS Participating], "Yes")</f>
        <v>0</v>
      </c>
      <c r="C51" s="21">
        <f>SUMIFS(HicRawData[Beds HH w/ Children],
HicRawData[Project Type],$I$2,
HicRawData[Inventory Type],"C",
HicRawData[Project Type], ES_ProjectTypeHmisParticipation[[#This Row],[HMIS Beds by Project Type]],
HicRawData[HMIS Participating], "Yes")</f>
        <v>0</v>
      </c>
      <c r="D51" s="21">
        <f>SUMIFS(HicRawData[Beds HH w/ only Children],
HicRawData[Project Type],$I$2,
HicRawData[Inventory Type],"C",
HicRawData[Project Type], ES_ProjectTypeHmisParticipation[[#This Row],[HMIS Beds by Project Type]],
HicRawData[HMIS Participating], "Yes")</f>
        <v>0</v>
      </c>
      <c r="E51" s="21">
        <f t="shared" si="0"/>
        <v>0</v>
      </c>
    </row>
    <row r="52" spans="1:5" ht="17.100000000000001" customHeight="1" x14ac:dyDescent="0.25">
      <c r="A52" s="2" t="s">
        <v>7</v>
      </c>
      <c r="B52" s="21">
        <f>SUMIFS(HicRawData[Beds HH w/o Children],
HicRawData[Project Type],$I$2,
HicRawData[Inventory Type],"C",
HicRawData[Project Type], ES_ProjectTypeHmisParticipation[[#This Row],[HMIS Beds by Project Type]],
HicRawData[HMIS Participating], "Yes")</f>
        <v>0</v>
      </c>
      <c r="C52" s="21">
        <f>SUMIFS(HicRawData[Beds HH w/ Children],
HicRawData[Project Type],$I$2,
HicRawData[Inventory Type],"C",
HicRawData[Project Type], ES_ProjectTypeHmisParticipation[[#This Row],[HMIS Beds by Project Type]],
HicRawData[HMIS Participating], "Yes")</f>
        <v>0</v>
      </c>
      <c r="D52" s="21">
        <f>SUMIFS(HicRawData[Beds HH w/ only Children],
HicRawData[Project Type],$I$2,
HicRawData[Inventory Type],"C",
HicRawData[Project Type], ES_ProjectTypeHmisParticipation[[#This Row],[HMIS Beds by Project Type]],
HicRawData[HMIS Participating], "Yes")</f>
        <v>0</v>
      </c>
      <c r="E52" s="21">
        <f t="shared" si="0"/>
        <v>0</v>
      </c>
    </row>
    <row r="53" spans="1:5" x14ac:dyDescent="0.25">
      <c r="A53" s="2" t="s">
        <v>100</v>
      </c>
      <c r="B53" s="24">
        <f>SUBTOTAL(109,ES_ProjectTypeHmisParticipation[Households without Children])</f>
        <v>72</v>
      </c>
      <c r="C53" s="24">
        <f>SUBTOTAL(109,ES_ProjectTypeHmisParticipation[Households with Children])</f>
        <v>120</v>
      </c>
      <c r="D53" s="24">
        <f>SUBTOTAL(109,ES_ProjectTypeHmisParticipation[Households with only Children])</f>
        <v>0</v>
      </c>
      <c r="E53" s="21">
        <f>SUBTOTAL(109,ES_ProjectTypeHmisParticipation[Total Year-Round Beds])</f>
        <v>192</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10"/>
      <c r="B60" s="11"/>
    </row>
    <row r="61" spans="1:5" x14ac:dyDescent="0.25">
      <c r="A61" s="10"/>
      <c r="B61" s="11"/>
    </row>
    <row r="62" spans="1:5" x14ac:dyDescent="0.25">
      <c r="A62" s="10"/>
      <c r="B62" s="11"/>
    </row>
    <row r="63" spans="1:5" x14ac:dyDescent="0.25">
      <c r="A63" s="10"/>
      <c r="B63" s="1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pgBIO8rW4EOG05gh81oJQPQ37NbZj8yw61pdU6BHS5P/mwp+vOcOYcfMm+ycCD4SD8mBMaZ7SGSap5cROE+9Iw==" saltValue="C18zWJMAC9ax+jOXM5cG/Q==" spinCount="100000" sheet="1" objects="1" scenarios="1"/>
  <conditionalFormatting sqref="A4:G4">
    <cfRule type="expression" dxfId="114"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7">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85939-C6BC-444D-8D31-300EF8C50788}">
  <sheetPr codeName="Sheet3"/>
  <dimension ref="A1:L97"/>
  <sheetViews>
    <sheetView zoomScaleNormal="100" workbookViewId="0"/>
  </sheetViews>
  <sheetFormatPr defaultColWidth="0" defaultRowHeight="15" zeroHeight="1" x14ac:dyDescent="0.25"/>
  <cols>
    <col min="1" max="1" width="31.7109375" style="2" customWidth="1"/>
    <col min="2" max="7" width="16.7109375" style="2" customWidth="1"/>
    <col min="8" max="8" width="9.140625" style="2" hidden="1" customWidth="1"/>
    <col min="9" max="9" width="9.140625" style="31" hidden="1" customWidth="1"/>
    <col min="10" max="10" width="9.140625" style="2" hidden="1" customWidth="1"/>
    <col min="11" max="12" width="0" style="2" hidden="1" customWidth="1"/>
    <col min="13" max="16384" width="9.140625" style="2" hidden="1"/>
  </cols>
  <sheetData>
    <row r="1" spans="1:9" ht="21" customHeight="1" x14ac:dyDescent="0.25">
      <c r="A1" s="27" t="s">
        <v>112</v>
      </c>
      <c r="B1" s="28"/>
      <c r="C1" s="28"/>
      <c r="D1" s="28"/>
      <c r="E1" s="28"/>
      <c r="F1" s="28"/>
      <c r="G1" s="28"/>
      <c r="I1" s="31" t="s">
        <v>86</v>
      </c>
    </row>
    <row r="2" spans="1:9" ht="18" customHeight="1" x14ac:dyDescent="0.25">
      <c r="A2" s="29" t="str">
        <f>CONCATENATE(IF(I2="*","All",I2)," Beds Summary")</f>
        <v>TH Beds Summary</v>
      </c>
      <c r="B2" s="28"/>
      <c r="C2" s="28"/>
      <c r="D2" s="28"/>
      <c r="E2" s="28"/>
      <c r="F2" s="28"/>
      <c r="G2" s="28"/>
      <c r="I2" s="31" t="s">
        <v>2</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G5" s="14"/>
      <c r="H5" s="14"/>
    </row>
    <row r="6" spans="1:9" ht="72" customHeight="1" x14ac:dyDescent="0.25">
      <c r="A6" s="16" t="s">
        <v>102</v>
      </c>
      <c r="B6" s="16" t="s">
        <v>96</v>
      </c>
      <c r="C6" s="16" t="s">
        <v>97</v>
      </c>
      <c r="D6" s="16" t="s">
        <v>98</v>
      </c>
      <c r="E6" s="16" t="s">
        <v>99</v>
      </c>
      <c r="I6" s="31" t="s">
        <v>84</v>
      </c>
    </row>
    <row r="7" spans="1:9" ht="17.100000000000001" customHeight="1" x14ac:dyDescent="0.25">
      <c r="A7" s="10" t="s">
        <v>107</v>
      </c>
      <c r="B7" s="18">
        <f>SUMIFS(HicRawData[Beds HH w/o Children],
HicRawData[Project Type],$I$2,
HicRawData[Inventory Type],"C",
HicRawData[HMIS Participating],$I7)</f>
        <v>3</v>
      </c>
      <c r="C7" s="18">
        <f>SUMIFS(HicRawData[Beds HH w/ Children],
HicRawData[Project Type],$I$2,
HicRawData[Inventory Type],"C",
HicRawData[HMIS Participating],$I7)</f>
        <v>38</v>
      </c>
      <c r="D7" s="18">
        <f>SUMIFS(HicRawData[Beds HH w/ only Children],
HicRawData[Project Type],$I$2,
HicRawData[Inventory Type],"C",
HicRawData[HMIS Participating],$I7)</f>
        <v>0</v>
      </c>
      <c r="E7" s="18">
        <f>SUM(TH_HmisParticipation[[#This Row],[Households without Children]:[Households with only Children]])</f>
        <v>41</v>
      </c>
      <c r="I7" s="31" t="s">
        <v>9</v>
      </c>
    </row>
    <row r="8" spans="1:9" ht="17.100000000000001" customHeight="1" x14ac:dyDescent="0.25">
      <c r="A8" s="10" t="s">
        <v>108</v>
      </c>
      <c r="B8" s="18">
        <f>SUMIFS(HicRawData[Beds HH w/o Children],
HicRawData[Project Type],$I$2,
HicRawData[Inventory Type],"C",
HicRawData[HMIS Participating],$I8)</f>
        <v>0</v>
      </c>
      <c r="C8" s="18">
        <f>SUMIFS(HicRawData[Beds HH w/ Children],
HicRawData[Project Type],$I$2,
HicRawData[Inventory Type],"C",
HicRawData[HMIS Participating],$I8)</f>
        <v>0</v>
      </c>
      <c r="D8" s="18">
        <f>SUMIFS(HicRawData[Beds HH w/ only Children],
HicRawData[Project Type],$I$2,
HicRawData[Inventory Type],"C",
HicRawData[HMIS Participating],$I8)</f>
        <v>0</v>
      </c>
      <c r="E8" s="18">
        <f>SUM(TH_HmisParticipation[[#This Row],[Households without Children]:[Households with only Children]])</f>
        <v>0</v>
      </c>
      <c r="I8" s="31" t="s">
        <v>12</v>
      </c>
    </row>
    <row r="9" spans="1:9" ht="17.100000000000001" customHeight="1" x14ac:dyDescent="0.25">
      <c r="A9" s="10" t="s">
        <v>130</v>
      </c>
      <c r="B9" s="18">
        <f>SUMIFS(HicRawData[Beds HH w/o Children],
HicRawData[Project Type],$I$2,
HicRawData[Inventory Type],"C",
HicRawData[HMIS Participating],$I9)</f>
        <v>0</v>
      </c>
      <c r="C9" s="18">
        <f>SUMIFS(HicRawData[Beds HH w/ Children],
HicRawData[Project Type],$I$2,
HicRawData[Inventory Type],"C",
HicRawData[HMIS Participating],$I9)</f>
        <v>0</v>
      </c>
      <c r="D9" s="18">
        <f>SUMIFS(HicRawData[Beds HH w/ only Children],
HicRawData[Project Type],$I$2,
HicRawData[Inventory Type],"C",
HicRawData[HMIS Participating],$I9)</f>
        <v>0</v>
      </c>
      <c r="E9" s="18">
        <f>SUM(TH_HmisParticipation[[#This Row],[Households without Children]:[Households with only Children]])</f>
        <v>0</v>
      </c>
      <c r="I9" s="31" t="s">
        <v>115</v>
      </c>
    </row>
    <row r="10" spans="1:9" ht="17.100000000000001" customHeight="1" x14ac:dyDescent="0.25">
      <c r="A10" s="2" t="s">
        <v>100</v>
      </c>
      <c r="B10" s="18">
        <f>SUBTOTAL(109,TH_HmisParticipation[Households without Children])</f>
        <v>3</v>
      </c>
      <c r="C10" s="18">
        <f>SUBTOTAL(109,TH_HmisParticipation[Households with Children])</f>
        <v>38</v>
      </c>
      <c r="D10" s="18">
        <f>SUBTOTAL(109,TH_HmisParticipation[Households with only Children])</f>
        <v>0</v>
      </c>
      <c r="E10" s="18">
        <f>SUBTOTAL(109,TH_HmisParticipation[Total Year-Round Beds])</f>
        <v>41</v>
      </c>
    </row>
    <row r="11" spans="1:9" ht="15" customHeight="1" x14ac:dyDescent="0.25">
      <c r="A11" s="4" t="s">
        <v>101</v>
      </c>
      <c r="B11" s="19">
        <f>IF(B7=0,"N/A",B7/TH_HmisParticipation[[#Totals],[Households without Children]])</f>
        <v>1</v>
      </c>
      <c r="C11" s="19">
        <f>IF(C7=0,"N/A",C7/TH_HmisParticipation[[#Totals],[Households with Children]])</f>
        <v>1</v>
      </c>
      <c r="D11" s="19" t="str">
        <f>IF(D7=0,"N/A",D7/TH_HmisParticipation[[#Totals],[Households with only Children]])</f>
        <v>N/A</v>
      </c>
      <c r="E11" s="19">
        <f>IF(E7=0,"N/A",E7/TH_HmisParticipation[[#Totals],[Total Year-Round Beds]])</f>
        <v>1</v>
      </c>
      <c r="G11" s="30"/>
    </row>
    <row r="12" spans="1:9" ht="15" customHeight="1" x14ac:dyDescent="0.25">
      <c r="A12" s="4"/>
      <c r="B12" s="5"/>
      <c r="C12" s="5"/>
      <c r="D12" s="5"/>
      <c r="E12" s="5"/>
      <c r="G12" s="30"/>
    </row>
    <row r="13" spans="1:9" ht="72" customHeight="1" x14ac:dyDescent="0.25">
      <c r="A13" s="15" t="s">
        <v>127</v>
      </c>
      <c r="B13" s="15" t="s">
        <v>96</v>
      </c>
      <c r="C13" s="15" t="s">
        <v>97</v>
      </c>
      <c r="D13" s="15" t="s">
        <v>98</v>
      </c>
      <c r="E13" s="15" t="s">
        <v>99</v>
      </c>
      <c r="I13" s="31" t="s">
        <v>84</v>
      </c>
    </row>
    <row r="14" spans="1:9" ht="17.100000000000001" customHeight="1" x14ac:dyDescent="0.25">
      <c r="A14" s="10" t="s">
        <v>113</v>
      </c>
      <c r="B14" s="18">
        <f>SUMIFS(HicRawData[Beds HH w/o Children],
HicRawData[Project Type],$I$2,
HicRawData[Inventory Type],"C",
HicRawData[HMIS Participating],$I14,
HicRawData[Victim Service Provider],0)</f>
        <v>3</v>
      </c>
      <c r="C14" s="18">
        <f>SUMIFS(HicRawData[Beds HH w/ Children],
HicRawData[Project Type],$I$2,
HicRawData[Inventory Type],"C",
HicRawData[HMIS Participating],$I14,
HicRawData[Victim Service Provider],0)</f>
        <v>38</v>
      </c>
      <c r="D14" s="18">
        <f>SUMIFS(HicRawData[Beds HH w/ only Children],
HicRawData[Project Type],$I$2,
HicRawData[Inventory Type],"C",
HicRawData[HMIS Participating],$I14,
HicRawData[Victim Service Provider],0)</f>
        <v>0</v>
      </c>
      <c r="E14" s="18">
        <f>SUM(TH_NonVspHmisParticipation[[#This Row],[Households without Children]:[Households with only Children]])</f>
        <v>41</v>
      </c>
      <c r="I14" s="31" t="s">
        <v>9</v>
      </c>
    </row>
    <row r="15" spans="1:9" ht="17.100000000000001" customHeight="1" x14ac:dyDescent="0.25">
      <c r="A15" s="10" t="s">
        <v>114</v>
      </c>
      <c r="B15" s="18">
        <f>SUMIFS(HicRawData[Beds HH w/o Children],
HicRawData[Project Type],$I$2,
HicRawData[Inventory Type],"C",
HicRawData[HMIS Participating],$I15,
HicRawData[Victim Service Provider],0)</f>
        <v>0</v>
      </c>
      <c r="C15" s="18">
        <f>SUMIFS(HicRawData[Beds HH w/ Children],
HicRawData[Project Type],$I$2,
HicRawData[Inventory Type],"C",
HicRawData[HMIS Participating],$I15,
HicRawData[Victim Service Provider],0)</f>
        <v>0</v>
      </c>
      <c r="D15" s="18">
        <f>SUMIFS(HicRawData[Beds HH w/ only Children],
HicRawData[Project Type],$I$2,
HicRawData[Inventory Type],"C",
HicRawData[HMIS Participating],$I15,
HicRawData[Victim Service Provider],0)</f>
        <v>0</v>
      </c>
      <c r="E15" s="18">
        <f>SUM(TH_NonVspHmisParticipation[[#This Row],[Households without Children]:[Households with only Children]])</f>
        <v>0</v>
      </c>
      <c r="I15" s="31" t="s">
        <v>12</v>
      </c>
    </row>
    <row r="16" spans="1:9" ht="17.100000000000001" customHeight="1" x14ac:dyDescent="0.25">
      <c r="A16" s="10" t="s">
        <v>129</v>
      </c>
      <c r="B16" s="18">
        <f>SUMIFS(HicRawData[Beds HH w/o Children],
HicRawData[Project Type],$I$2,
HicRawData[Inventory Type],"C",
HicRawData[HMIS Participating],$I16,
HicRawData[Victim Service Provider],0)</f>
        <v>0</v>
      </c>
      <c r="C16" s="18">
        <f>SUMIFS(HicRawData[Beds HH w/ Children],
HicRawData[Project Type],$I$2,
HicRawData[Inventory Type],"C",
HicRawData[HMIS Participating],$I16,
HicRawData[Victim Service Provider],0)</f>
        <v>0</v>
      </c>
      <c r="D16" s="18">
        <f>SUMIFS(HicRawData[Beds HH w/ only Children],
HicRawData[Project Type],$I$2,
HicRawData[Inventory Type],"C",
HicRawData[HMIS Participating],$I16,
HicRawData[Victim Service Provider],0)</f>
        <v>0</v>
      </c>
      <c r="E16" s="18">
        <f>SUM(TH_NonVspHmisParticipation[[#This Row],[Households without Children]:[Households with only Children]])</f>
        <v>0</v>
      </c>
      <c r="I16" s="31" t="s">
        <v>115</v>
      </c>
    </row>
    <row r="17" spans="1:9" ht="17.100000000000001" customHeight="1" x14ac:dyDescent="0.25">
      <c r="A17" s="10" t="s">
        <v>100</v>
      </c>
      <c r="B17" s="20">
        <f>SUBTOTAL(109,TH_NonVspHmisParticipation[Households without Children])</f>
        <v>3</v>
      </c>
      <c r="C17" s="20">
        <f>SUBTOTAL(109,TH_NonVspHmisParticipation[Households with Children])</f>
        <v>38</v>
      </c>
      <c r="D17" s="20">
        <f>SUBTOTAL(109,TH_NonVspHmisParticipation[Households with only Children])</f>
        <v>0</v>
      </c>
      <c r="E17" s="20">
        <f>SUBTOTAL(109,TH_NonVspHmisParticipation[Total Year-Round Beds])</f>
        <v>41</v>
      </c>
    </row>
    <row r="18" spans="1:9" ht="15" customHeight="1" x14ac:dyDescent="0.25">
      <c r="A18" s="4" t="s">
        <v>128</v>
      </c>
      <c r="B18" s="19">
        <f>IF(B14=0,"N/A",B14/TH_NonVspHmisParticipation[[#Totals],[Households without Children]])</f>
        <v>1</v>
      </c>
      <c r="C18" s="19">
        <f>IF(C14=0,"N/A",C14/TH_NonVspHmisParticipation[[#Totals],[Households with Children]])</f>
        <v>1</v>
      </c>
      <c r="D18" s="19" t="str">
        <f>IF(D14=0,"N/A",D14/TH_NonVspHmisParticipation[[#Totals],[Households with only Children]])</f>
        <v>N/A</v>
      </c>
      <c r="E18" s="19">
        <f>IF(E14=0,"N/A",E14/TH_NonVspHmisParticipation[[#Totals],[Total Year-Round Beds]])</f>
        <v>1</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14"/>
    </row>
    <row r="21" spans="1:9" ht="17.100000000000001" customHeight="1" x14ac:dyDescent="0.25">
      <c r="A21" s="2" t="s">
        <v>8</v>
      </c>
      <c r="B21" s="22">
        <f>SUMIFS(HicRawData[Beds HH w/o Children],
HicRawData[Project Type],$I$2,
HicRawData[Inventory Type],"C",
HicRawData[Target Population],TH_TargetPopulation[[#This Row],[Beds by Target Population]])</f>
        <v>0</v>
      </c>
      <c r="C21" s="22">
        <f>SUMIFS(HicRawData[Beds HH w/ Children],
HicRawData[Project Type],$I$2,
HicRawData[Inventory Type],"C",
HicRawData[Target Population],TH_TargetPopulation[[#This Row],[Beds by Target Population]])</f>
        <v>0</v>
      </c>
      <c r="D21" s="22">
        <f>SUMIFS(HicRawData[Beds HH w/ only Children],
HicRawData[Project Type],$I$2,
HicRawData[Inventory Type],"C",
HicRawData[Target Population],TH_TargetPopulation[[#This Row],[Beds by Target Population]])</f>
        <v>0</v>
      </c>
      <c r="E21" s="22">
        <f>SUM(TH_TargetPopulation[[#This Row],[Households without Children]:[Households with only Children]])</f>
        <v>0</v>
      </c>
    </row>
    <row r="22" spans="1:9" ht="17.100000000000001" customHeight="1" x14ac:dyDescent="0.25">
      <c r="A22" s="2" t="s">
        <v>10</v>
      </c>
      <c r="B22" s="22">
        <f>SUMIFS(HicRawData[Beds HH w/o Children],
HicRawData[Project Type],$I$2,
HicRawData[Inventory Type],"C",
HicRawData[Target Population],TH_TargetPopulation[[#This Row],[Beds by Target Population]])</f>
        <v>0</v>
      </c>
      <c r="C22" s="22">
        <f>SUMIFS(HicRawData[Beds HH w/ Children],
HicRawData[Project Type],$I$2,
HicRawData[Inventory Type],"C",
HicRawData[Target Population],TH_TargetPopulation[[#This Row],[Beds by Target Population]])</f>
        <v>0</v>
      </c>
      <c r="D22" s="22">
        <f>SUMIFS(HicRawData[Beds HH w/ only Children],
HicRawData[Project Type],$I$2,
HicRawData[Inventory Type],"C",
HicRawData[Target Population],TH_TargetPopulation[[#This Row],[Beds by Target Population]])</f>
        <v>0</v>
      </c>
      <c r="E22" s="22">
        <f>SUM(TH_TargetPopulation[[#This Row],[Households without Children]:[Households with only Children]])</f>
        <v>0</v>
      </c>
    </row>
    <row r="23" spans="1:9" ht="17.100000000000001" customHeight="1" x14ac:dyDescent="0.25">
      <c r="A23" s="2" t="s">
        <v>0</v>
      </c>
      <c r="B23" s="22">
        <f>SUMIFS(HicRawData[Beds HH w/o Children],
HicRawData[Project Type],$I$2,
HicRawData[Inventory Type],"C",
HicRawData[Target Population],TH_TargetPopulation[[#This Row],[Beds by Target Population]])</f>
        <v>3</v>
      </c>
      <c r="C23" s="22">
        <f>SUMIFS(HicRawData[Beds HH w/ Children],
HicRawData[Project Type],$I$2,
HicRawData[Inventory Type],"C",
HicRawData[Target Population],TH_TargetPopulation[[#This Row],[Beds by Target Population]])</f>
        <v>38</v>
      </c>
      <c r="D23" s="22">
        <f>SUMIFS(HicRawData[Beds HH w/ only Children],
HicRawData[Project Type],$I$2,
HicRawData[Inventory Type],"C",
HicRawData[Target Population],TH_TargetPopulation[[#This Row],[Beds by Target Population]])</f>
        <v>0</v>
      </c>
      <c r="E23" s="22">
        <f>SUM(TH_TargetPopulation[[#This Row],[Households without Children]:[Households with only Children]])</f>
        <v>41</v>
      </c>
    </row>
    <row r="24" spans="1:9" ht="15" customHeight="1" x14ac:dyDescent="0.25">
      <c r="A24" s="2" t="s">
        <v>100</v>
      </c>
      <c r="B24" s="23">
        <f>SUBTOTAL(109,TH_TargetPopulation[Households without Children])</f>
        <v>3</v>
      </c>
      <c r="C24" s="23">
        <f>SUBTOTAL(109,TH_TargetPopulation[Households with Children])</f>
        <v>38</v>
      </c>
      <c r="D24" s="23">
        <f>SUBTOTAL(109,TH_TargetPopulation[Households with only Children])</f>
        <v>0</v>
      </c>
      <c r="E24" s="23">
        <f>SUBTOTAL(109,TH_TargetPopulation[Total Year-Round Beds])</f>
        <v>41</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SUMIFS(HicRawData[Beds HH w/o Children],
HicRawData[Project Type],$I$2,
HicRawData[Inventory Type],$I27)</f>
        <v>3</v>
      </c>
      <c r="C27" s="22">
        <f>SUMIFS(HicRawData[Beds HH w/ Children],
HicRawData[Project Type],$I$2,
HicRawData[Inventory Type],$I27)</f>
        <v>38</v>
      </c>
      <c r="D27" s="22">
        <f>SUMIFS(HicRawData[Beds HH w/ only Children],
HicRawData[Project Type],$I$2,
HicRawData[Inventory Type],$I27)</f>
        <v>0</v>
      </c>
      <c r="E27" s="22">
        <f>SUM(TH_InventoryType[[#This Row],[Households without Children]:[Households with only Children]])</f>
        <v>41</v>
      </c>
      <c r="I27" s="31" t="s">
        <v>1</v>
      </c>
    </row>
    <row r="28" spans="1:9" ht="17.100000000000001" customHeight="1" x14ac:dyDescent="0.25">
      <c r="A28" s="2" t="s">
        <v>106</v>
      </c>
      <c r="B28" s="22">
        <f>SUMIFS(HicRawData[Beds HH w/o Children],
HicRawData[Project Type],$I$2,
HicRawData[Inventory Type],$I28)</f>
        <v>0</v>
      </c>
      <c r="C28" s="22">
        <f>SUMIFS(HicRawData[Beds HH w/ Children],
HicRawData[Project Type],$I$2,
HicRawData[Inventory Type],$I28)</f>
        <v>0</v>
      </c>
      <c r="D28" s="22">
        <f>SUMIFS(HicRawData[Beds HH w/ only Children],
HicRawData[Project Type],$I$2,
HicRawData[Inventory Type],$I28)</f>
        <v>0</v>
      </c>
      <c r="E28" s="22">
        <f>SUM(TH_InventoryType[[#This Row],[Households without Children]:[Households with only Children]])</f>
        <v>0</v>
      </c>
      <c r="I28" s="31" t="s">
        <v>6</v>
      </c>
    </row>
    <row r="29" spans="1:9" ht="15" customHeight="1" x14ac:dyDescent="0.25">
      <c r="A29" s="2" t="s">
        <v>100</v>
      </c>
      <c r="B29" s="23">
        <f>SUBTOTAL(109,TH_InventoryType[Households without Children])</f>
        <v>3</v>
      </c>
      <c r="C29" s="23">
        <f>SUBTOTAL(109,TH_InventoryType[Households with Children])</f>
        <v>38</v>
      </c>
      <c r="D29" s="23">
        <f>SUBTOTAL(109,TH_InventoryType[Households with only Children])</f>
        <v>0</v>
      </c>
      <c r="E29" s="23">
        <f>SUBTOTAL(109,TH_InventoryType[Total Year-Round Beds])</f>
        <v>41</v>
      </c>
    </row>
    <row r="30" spans="1:9" ht="15" customHeight="1" x14ac:dyDescent="0.25">
      <c r="B30" s="23"/>
      <c r="C30" s="23"/>
      <c r="D30" s="23"/>
      <c r="E30" s="23"/>
    </row>
    <row r="31" spans="1:9" ht="72" customHeight="1" x14ac:dyDescent="0.25">
      <c r="A31"/>
      <c r="B31"/>
      <c r="C31"/>
      <c r="D31"/>
      <c r="E31"/>
      <c r="I31" s="31" t="s">
        <v>84</v>
      </c>
    </row>
    <row r="32" spans="1:9" ht="15" customHeight="1" x14ac:dyDescent="0.25">
      <c r="A32"/>
      <c r="B32"/>
      <c r="C32"/>
      <c r="D32"/>
      <c r="E32"/>
      <c r="I32" s="31" t="s">
        <v>9</v>
      </c>
    </row>
    <row r="33" spans="1:12" ht="15" customHeight="1" x14ac:dyDescent="0.25">
      <c r="A33"/>
      <c r="B33"/>
      <c r="C33"/>
      <c r="D33"/>
      <c r="E33"/>
      <c r="F33" s="23"/>
      <c r="I33" s="31" t="s">
        <v>12</v>
      </c>
      <c r="J33" s="3"/>
    </row>
    <row r="34" spans="1:12" ht="15" customHeight="1" x14ac:dyDescent="0.25">
      <c r="A34"/>
      <c r="B34"/>
      <c r="C34"/>
      <c r="D34"/>
      <c r="E34"/>
      <c r="F34" s="23"/>
      <c r="I34" s="31" t="s">
        <v>115</v>
      </c>
      <c r="J34" s="3"/>
    </row>
    <row r="35" spans="1:12" ht="15" customHeight="1" x14ac:dyDescent="0.25">
      <c r="A35"/>
      <c r="B35"/>
      <c r="C35"/>
      <c r="D35"/>
      <c r="E35"/>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SUMIFS(HicRawData[Beds HH w/o Children],
HicRawData[Project Type],$I$2,
HicRawData[Inventory Type],"C",
HicRawData[Project Type], TH_ProjectType[[#This Row],[All Beds by Project Type]])</f>
        <v>0</v>
      </c>
      <c r="C38" s="22">
        <f>SUMIFS(HicRawData[Beds HH w/ Children],
HicRawData[Project Type],$I$2,
HicRawData[Inventory Type],"C",
HicRawData[Project Type], TH_ProjectType[[#This Row],[All Beds by Project Type]])</f>
        <v>0</v>
      </c>
      <c r="D38" s="22">
        <f>SUMIFS(HicRawData[Beds HH w/ only Children],
HicRawData[Project Type],$I$2,
HicRawData[Inventory Type],"C",
HicRawData[Project Type], TH_ProjectType[[#This Row],[All Beds by Project Type]])</f>
        <v>0</v>
      </c>
      <c r="E38" s="22">
        <f>SUM(TH_ProjectType[[#This Row],[Households without Children]:[Households with only Children]])</f>
        <v>0</v>
      </c>
    </row>
    <row r="39" spans="1:12" ht="17.100000000000001" customHeight="1" x14ac:dyDescent="0.25">
      <c r="A39" s="2" t="s">
        <v>2</v>
      </c>
      <c r="B39" s="22">
        <f>SUMIFS(HicRawData[Beds HH w/o Children],
HicRawData[Project Type],$I$2,
HicRawData[Inventory Type],"C",
HicRawData[Project Type], TH_ProjectType[[#This Row],[All Beds by Project Type]])</f>
        <v>3</v>
      </c>
      <c r="C39" s="22">
        <f>SUMIFS(HicRawData[Beds HH w/ Children],
HicRawData[Project Type],$I$2,
HicRawData[Inventory Type],"C",
HicRawData[Project Type], TH_ProjectType[[#This Row],[All Beds by Project Type]])</f>
        <v>38</v>
      </c>
      <c r="D39" s="22">
        <f>SUMIFS(HicRawData[Beds HH w/ only Children],
HicRawData[Project Type],$I$2,
HicRawData[Inventory Type],"C",
HicRawData[Project Type], TH_ProjectType[[#This Row],[All Beds by Project Type]])</f>
        <v>0</v>
      </c>
      <c r="E39" s="22">
        <f>SUM(TH_ProjectType[[#This Row],[Households without Children]:[Households with only Children]])</f>
        <v>41</v>
      </c>
      <c r="H39" s="6"/>
    </row>
    <row r="40" spans="1:12" ht="17.100000000000001" customHeight="1" x14ac:dyDescent="0.25">
      <c r="A40" s="2" t="s">
        <v>11</v>
      </c>
      <c r="B40" s="22">
        <f>SUMIFS(HicRawData[Beds HH w/o Children],
HicRawData[Project Type],$I$2,
HicRawData[Inventory Type],"C",
HicRawData[Project Type], TH_ProjectType[[#This Row],[All Beds by Project Type]])</f>
        <v>0</v>
      </c>
      <c r="C40" s="22">
        <f>SUMIFS(HicRawData[Beds HH w/ Children],
HicRawData[Project Type],$I$2,
HicRawData[Inventory Type],"C",
HicRawData[Project Type], TH_ProjectType[[#This Row],[All Beds by Project Type]])</f>
        <v>0</v>
      </c>
      <c r="D40" s="22">
        <f>SUMIFS(HicRawData[Beds HH w/ only Children],
HicRawData[Project Type],$I$2,
HicRawData[Inventory Type],"C",
HicRawData[Project Type], TH_ProjectType[[#This Row],[All Beds by Project Type]])</f>
        <v>0</v>
      </c>
      <c r="E40" s="22">
        <f>SUM(TH_ProjectType[[#This Row],[Households without Children]:[Households with only Children]])</f>
        <v>0</v>
      </c>
      <c r="H40" s="6"/>
    </row>
    <row r="41" spans="1:12" ht="17.100000000000001" customHeight="1" x14ac:dyDescent="0.25">
      <c r="A41" s="2" t="s">
        <v>4</v>
      </c>
      <c r="B41" s="22">
        <f>SUMIFS(HicRawData[Beds HH w/o Children],
HicRawData[Project Type],$I$2,
HicRawData[Inventory Type],"C",
HicRawData[Project Type], TH_ProjectType[[#This Row],[All Beds by Project Type]])</f>
        <v>0</v>
      </c>
      <c r="C41" s="22">
        <f>SUMIFS(HicRawData[Beds HH w/ Children],
HicRawData[Project Type],$I$2,
HicRawData[Inventory Type],"C",
HicRawData[Project Type], TH_ProjectType[[#This Row],[All Beds by Project Type]])</f>
        <v>0</v>
      </c>
      <c r="D41" s="22">
        <f>SUMIFS(HicRawData[Beds HH w/ only Children],
HicRawData[Project Type],$I$2,
HicRawData[Inventory Type],"C",
HicRawData[Project Type], TH_ProjectType[[#This Row],[All Beds by Project Type]])</f>
        <v>0</v>
      </c>
      <c r="E41" s="22">
        <f>SUM(TH_ProjectType[[#This Row],[Households without Children]:[Households with only Children]])</f>
        <v>0</v>
      </c>
    </row>
    <row r="42" spans="1:12" ht="17.100000000000001" customHeight="1" x14ac:dyDescent="0.25">
      <c r="A42" s="2" t="s">
        <v>5</v>
      </c>
      <c r="B42" s="22">
        <f>SUMIFS(HicRawData[Beds HH w/o Children],
HicRawData[Project Type],$I$2,
HicRawData[Inventory Type],"C",
HicRawData[Project Type], TH_ProjectType[[#This Row],[All Beds by Project Type]])</f>
        <v>0</v>
      </c>
      <c r="C42" s="22">
        <f>SUMIFS(HicRawData[Beds HH w/ Children],
HicRawData[Project Type],$I$2,
HicRawData[Inventory Type],"C",
HicRawData[Project Type], TH_ProjectType[[#This Row],[All Beds by Project Type]])</f>
        <v>0</v>
      </c>
      <c r="D42" s="22">
        <f>SUMIFS(HicRawData[Beds HH w/ only Children],
HicRawData[Project Type],$I$2,
HicRawData[Inventory Type],"C",
HicRawData[Project Type], TH_ProjectType[[#This Row],[All Beds by Project Type]])</f>
        <v>0</v>
      </c>
      <c r="E42" s="22">
        <f>SUM(TH_ProjectType[[#This Row],[Households without Children]:[Households with only Children]])</f>
        <v>0</v>
      </c>
    </row>
    <row r="43" spans="1:12" ht="17.100000000000001" customHeight="1" x14ac:dyDescent="0.25">
      <c r="A43" s="2" t="s">
        <v>7</v>
      </c>
      <c r="B43" s="22">
        <f>SUMIFS(HicRawData[Beds HH w/o Children],
HicRawData[Project Type],$I$2,
HicRawData[Inventory Type],"C",
HicRawData[Project Type], TH_ProjectType[[#This Row],[All Beds by Project Type]])</f>
        <v>0</v>
      </c>
      <c r="C43" s="22">
        <f>SUMIFS(HicRawData[Beds HH w/ Children],
HicRawData[Project Type],$I$2,
HicRawData[Inventory Type],"C",
HicRawData[Project Type], TH_ProjectType[[#This Row],[All Beds by Project Type]])</f>
        <v>0</v>
      </c>
      <c r="D43" s="22">
        <f>SUMIFS(HicRawData[Beds HH w/ only Children],
HicRawData[Project Type],$I$2,
HicRawData[Inventory Type],"C",
HicRawData[Project Type], TH_ProjectType[[#This Row],[All Beds by Project Type]])</f>
        <v>0</v>
      </c>
      <c r="E43" s="22">
        <f>SUM(TH_ProjectType[[#This Row],[Households without Children]:[Households with only Children]])</f>
        <v>0</v>
      </c>
    </row>
    <row r="44" spans="1:12" ht="15" customHeight="1" x14ac:dyDescent="0.25">
      <c r="A44" s="2" t="s">
        <v>100</v>
      </c>
      <c r="B44" s="23">
        <f>SUBTOTAL(109,TH_ProjectType[Households without Children])</f>
        <v>3</v>
      </c>
      <c r="C44" s="23">
        <f>SUBTOTAL(109,TH_ProjectType[Households with Children])</f>
        <v>38</v>
      </c>
      <c r="D44" s="23">
        <f>SUBTOTAL(109,TH_ProjectType[Households with only Children])</f>
        <v>0</v>
      </c>
      <c r="E44" s="23">
        <f>SUBTOTAL(109,TH_ProjectType[Total Year-Round Beds])</f>
        <v>41</v>
      </c>
    </row>
    <row r="45" spans="1:12" ht="15" customHeight="1" x14ac:dyDescent="0.25">
      <c r="B45" s="23"/>
      <c r="C45" s="23"/>
      <c r="D45" s="23"/>
      <c r="E45" s="23"/>
    </row>
    <row r="46" spans="1:12" ht="72" customHeight="1" x14ac:dyDescent="0.25">
      <c r="A46" s="16" t="s">
        <v>125</v>
      </c>
      <c r="B46" s="16" t="s">
        <v>96</v>
      </c>
      <c r="C46" s="16" t="s">
        <v>97</v>
      </c>
      <c r="D46" s="16" t="s">
        <v>98</v>
      </c>
      <c r="E46" s="16" t="s">
        <v>99</v>
      </c>
      <c r="J46" s="12"/>
      <c r="K46" s="12"/>
      <c r="L46" s="12"/>
    </row>
    <row r="47" spans="1:12" ht="17.100000000000001" customHeight="1" x14ac:dyDescent="0.25">
      <c r="A47" s="2" t="s">
        <v>3</v>
      </c>
      <c r="B47" s="22">
        <f>SUMIFS(HicRawData[Beds HH w/o Children],
HicRawData[Project Type],$I$2,
HicRawData[Inventory Type],"C",
HicRawData[Project Type], TH_ProjectTypeHmisParticipation[[#This Row],[HMIS Beds by Project Type]],
HicRawData[HMIS Participating], "Yes")</f>
        <v>0</v>
      </c>
      <c r="C47" s="22">
        <f>SUMIFS(HicRawData[Beds HH w/ Children],
HicRawData[Project Type],$I$2,
HicRawData[Inventory Type],"C",
HicRawData[Project Type], TH_ProjectTypeHmisParticipation[[#This Row],[HMIS Beds by Project Type]],
HicRawData[HMIS Participating], "Yes")</f>
        <v>0</v>
      </c>
      <c r="D47" s="22">
        <f>SUMIFS(HicRawData[Beds HH w/ only Children],
HicRawData[Project Type],$I$2,
HicRawData[Inventory Type],"C",
HicRawData[Project Type], TH_ProjectTypeHmisParticipation[[#This Row],[HMIS Beds by Project Type]],
HicRawData[HMIS Participating], "Yes")</f>
        <v>0</v>
      </c>
      <c r="E47" s="21">
        <f>B47+C47+D47</f>
        <v>0</v>
      </c>
    </row>
    <row r="48" spans="1:12" ht="17.100000000000001" customHeight="1" x14ac:dyDescent="0.25">
      <c r="A48" s="2" t="s">
        <v>2</v>
      </c>
      <c r="B48" s="21">
        <f>SUMIFS(HicRawData[Beds HH w/o Children],
HicRawData[Project Type],$I$2,
HicRawData[Inventory Type],"C",
HicRawData[Project Type], TH_ProjectTypeHmisParticipation[[#This Row],[HMIS Beds by Project Type]],
HicRawData[HMIS Participating], "Yes")</f>
        <v>3</v>
      </c>
      <c r="C48" s="21">
        <f>SUMIFS(HicRawData[Beds HH w/ Children],
HicRawData[Project Type],$I$2,
HicRawData[Inventory Type],"C",
HicRawData[Project Type], TH_ProjectTypeHmisParticipation[[#This Row],[HMIS Beds by Project Type]],
HicRawData[HMIS Participating], "Yes")</f>
        <v>38</v>
      </c>
      <c r="D48" s="21">
        <f>SUMIFS(HicRawData[Beds HH w/ only Children],
HicRawData[Project Type],$I$2,
HicRawData[Inventory Type],"C",
HicRawData[Project Type], TH_ProjectTypeHmisParticipation[[#This Row],[HMIS Beds by Project Type]],
HicRawData[HMIS Participating], "Yes")</f>
        <v>0</v>
      </c>
      <c r="E48" s="21">
        <f t="shared" ref="E48:E52" si="0">B48+C48+D48</f>
        <v>41</v>
      </c>
    </row>
    <row r="49" spans="1:5" ht="17.100000000000001" customHeight="1" x14ac:dyDescent="0.25">
      <c r="A49" s="2" t="s">
        <v>11</v>
      </c>
      <c r="B49" s="21">
        <f>SUMIFS(HicRawData[Beds HH w/o Children],
HicRawData[Project Type],$I$2,
HicRawData[Inventory Type],"C",
HicRawData[Project Type], TH_ProjectTypeHmisParticipation[[#This Row],[HMIS Beds by Project Type]],
HicRawData[HMIS Participating], "Yes")</f>
        <v>0</v>
      </c>
      <c r="C49" s="21">
        <f>SUMIFS(HicRawData[Beds HH w/ Children],
HicRawData[Project Type],$I$2,
HicRawData[Inventory Type],"C",
HicRawData[Project Type], TH_ProjectTypeHmisParticipation[[#This Row],[HMIS Beds by Project Type]],
HicRawData[HMIS Participating], "Yes")</f>
        <v>0</v>
      </c>
      <c r="D49" s="21">
        <f>SUMIFS(HicRawData[Beds HH w/ only Children],
HicRawData[Project Type],$I$2,
HicRawData[Inventory Type],"C",
HicRawData[Project Type], TH_ProjectTypeHmisParticipation[[#This Row],[HMIS Beds by Project Type]],
HicRawData[HMIS Participating], "Yes")</f>
        <v>0</v>
      </c>
      <c r="E49" s="21">
        <f t="shared" si="0"/>
        <v>0</v>
      </c>
    </row>
    <row r="50" spans="1:5" ht="17.100000000000001" customHeight="1" x14ac:dyDescent="0.25">
      <c r="A50" s="2" t="s">
        <v>4</v>
      </c>
      <c r="B50" s="21">
        <f>SUMIFS(HicRawData[Beds HH w/o Children],
HicRawData[Project Type],$I$2,
HicRawData[Inventory Type],"C",
HicRawData[Project Type], TH_ProjectTypeHmisParticipation[[#This Row],[HMIS Beds by Project Type]],
HicRawData[HMIS Participating], "Yes")</f>
        <v>0</v>
      </c>
      <c r="C50" s="21">
        <f>SUMIFS(HicRawData[Beds HH w/ Children],
HicRawData[Project Type],$I$2,
HicRawData[Inventory Type],"C",
HicRawData[Project Type], TH_ProjectTypeHmisParticipation[[#This Row],[HMIS Beds by Project Type]],
HicRawData[HMIS Participating], "Yes")</f>
        <v>0</v>
      </c>
      <c r="D50" s="21">
        <f>SUMIFS(HicRawData[Beds HH w/ only Children],
HicRawData[Project Type],$I$2,
HicRawData[Inventory Type],"C",
HicRawData[Project Type], TH_ProjectTypeHmisParticipation[[#This Row],[HMIS Beds by Project Type]],
HicRawData[HMIS Participating], "Yes")</f>
        <v>0</v>
      </c>
      <c r="E50" s="21">
        <f t="shared" si="0"/>
        <v>0</v>
      </c>
    </row>
    <row r="51" spans="1:5" ht="17.100000000000001" customHeight="1" x14ac:dyDescent="0.25">
      <c r="A51" s="2" t="s">
        <v>5</v>
      </c>
      <c r="B51" s="21">
        <f>SUMIFS(HicRawData[Beds HH w/o Children],
HicRawData[Project Type],$I$2,
HicRawData[Inventory Type],"C",
HicRawData[Project Type], TH_ProjectTypeHmisParticipation[[#This Row],[HMIS Beds by Project Type]],
HicRawData[HMIS Participating], "Yes")</f>
        <v>0</v>
      </c>
      <c r="C51" s="21">
        <f>SUMIFS(HicRawData[Beds HH w/ Children],
HicRawData[Project Type],$I$2,
HicRawData[Inventory Type],"C",
HicRawData[Project Type], TH_ProjectTypeHmisParticipation[[#This Row],[HMIS Beds by Project Type]],
HicRawData[HMIS Participating], "Yes")</f>
        <v>0</v>
      </c>
      <c r="D51" s="21">
        <f>SUMIFS(HicRawData[Beds HH w/ only Children],
HicRawData[Project Type],$I$2,
HicRawData[Inventory Type],"C",
HicRawData[Project Type], TH_ProjectTypeHmisParticipation[[#This Row],[HMIS Beds by Project Type]],
HicRawData[HMIS Participating], "Yes")</f>
        <v>0</v>
      </c>
      <c r="E51" s="21">
        <f t="shared" si="0"/>
        <v>0</v>
      </c>
    </row>
    <row r="52" spans="1:5" ht="17.100000000000001" customHeight="1" x14ac:dyDescent="0.25">
      <c r="A52" s="2" t="s">
        <v>7</v>
      </c>
      <c r="B52" s="21">
        <f>SUMIFS(HicRawData[Beds HH w/o Children],
HicRawData[Project Type],$I$2,
HicRawData[Inventory Type],"C",
HicRawData[Project Type], TH_ProjectTypeHmisParticipation[[#This Row],[HMIS Beds by Project Type]],
HicRawData[HMIS Participating], "Yes")</f>
        <v>0</v>
      </c>
      <c r="C52" s="21">
        <f>SUMIFS(HicRawData[Beds HH w/ Children],
HicRawData[Project Type],$I$2,
HicRawData[Inventory Type],"C",
HicRawData[Project Type], TH_ProjectTypeHmisParticipation[[#This Row],[HMIS Beds by Project Type]],
HicRawData[HMIS Participating], "Yes")</f>
        <v>0</v>
      </c>
      <c r="D52" s="21">
        <f>SUMIFS(HicRawData[Beds HH w/ only Children],
HicRawData[Project Type],$I$2,
HicRawData[Inventory Type],"C",
HicRawData[Project Type], TH_ProjectTypeHmisParticipation[[#This Row],[HMIS Beds by Project Type]],
HicRawData[HMIS Participating], "Yes")</f>
        <v>0</v>
      </c>
      <c r="E52" s="21">
        <f t="shared" si="0"/>
        <v>0</v>
      </c>
    </row>
    <row r="53" spans="1:5" x14ac:dyDescent="0.25">
      <c r="A53" s="2" t="s">
        <v>100</v>
      </c>
      <c r="B53" s="24">
        <f>SUBTOTAL(109,TH_ProjectTypeHmisParticipation[Households without Children])</f>
        <v>3</v>
      </c>
      <c r="C53" s="24">
        <f>SUBTOTAL(109,TH_ProjectTypeHmisParticipation[Households with Children])</f>
        <v>38</v>
      </c>
      <c r="D53" s="24">
        <f>SUBTOTAL(109,TH_ProjectTypeHmisParticipation[Households with only Children])</f>
        <v>0</v>
      </c>
      <c r="E53" s="21">
        <f>SUBTOTAL(109,TH_ProjectTypeHmisParticipation[Total Year-Round Beds])</f>
        <v>41</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10"/>
      <c r="B60" s="11"/>
    </row>
    <row r="61" spans="1:5" x14ac:dyDescent="0.25">
      <c r="A61" s="10"/>
      <c r="B61" s="11"/>
    </row>
    <row r="62" spans="1:5" x14ac:dyDescent="0.25">
      <c r="A62" s="10"/>
      <c r="B62" s="11"/>
    </row>
    <row r="63" spans="1:5" x14ac:dyDescent="0.25">
      <c r="A63" s="10"/>
      <c r="B63" s="1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eoBHvzQz77gUJJ36M61SRihUlJMHcpiBH18ADppUGGuhwKHYgf6/OxvdUitxV8wbA4zrNAD8+12rN3Z7HpD7ig==" saltValue="VEwG/fIjLAaIdJ5dcwckQQ==" spinCount="100000" sheet="1" objects="1" scenarios="1"/>
  <conditionalFormatting sqref="A4:G4">
    <cfRule type="expression" dxfId="113"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0518-F172-4864-AD0A-A00E720DA729}">
  <sheetPr codeName="Sheet5"/>
  <dimension ref="A1:L97"/>
  <sheetViews>
    <sheetView zoomScaleNormal="100" workbookViewId="0"/>
  </sheetViews>
  <sheetFormatPr defaultColWidth="0" defaultRowHeight="15" zeroHeight="1" x14ac:dyDescent="0.25"/>
  <cols>
    <col min="1" max="1" width="31.7109375" style="2" customWidth="1"/>
    <col min="2" max="7" width="16.7109375" style="2" customWidth="1"/>
    <col min="8" max="8" width="9.140625" style="2" hidden="1" customWidth="1"/>
    <col min="9" max="9" width="9.140625" style="31" hidden="1" customWidth="1"/>
    <col min="10" max="10" width="9.140625" style="2" hidden="1" customWidth="1"/>
    <col min="11" max="12" width="0" style="2" hidden="1" customWidth="1"/>
    <col min="13" max="16384" width="9.140625" style="2" hidden="1"/>
  </cols>
  <sheetData>
    <row r="1" spans="1:9" ht="21" customHeight="1" x14ac:dyDescent="0.25">
      <c r="A1" s="27" t="s">
        <v>112</v>
      </c>
      <c r="B1" s="28"/>
      <c r="C1" s="28"/>
      <c r="D1" s="28"/>
      <c r="E1" s="28"/>
      <c r="F1" s="28"/>
      <c r="G1" s="28"/>
      <c r="I1" s="31" t="s">
        <v>86</v>
      </c>
    </row>
    <row r="2" spans="1:9" ht="18" customHeight="1" x14ac:dyDescent="0.25">
      <c r="A2" s="29" t="str">
        <f>CONCATENATE(IF(I2="*","All",I2)," Beds Summary")</f>
        <v>SH Beds Summary</v>
      </c>
      <c r="B2" s="28"/>
      <c r="C2" s="28"/>
      <c r="D2" s="28"/>
      <c r="E2" s="28"/>
      <c r="F2" s="28"/>
      <c r="G2" s="28"/>
      <c r="I2" s="31" t="s">
        <v>11</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G5" s="14"/>
      <c r="H5" s="14"/>
    </row>
    <row r="6" spans="1:9" ht="72" customHeight="1" x14ac:dyDescent="0.25">
      <c r="A6" s="16" t="s">
        <v>102</v>
      </c>
      <c r="B6" s="16" t="s">
        <v>96</v>
      </c>
      <c r="C6" s="16" t="s">
        <v>97</v>
      </c>
      <c r="D6" s="16" t="s">
        <v>98</v>
      </c>
      <c r="E6" s="16" t="s">
        <v>99</v>
      </c>
      <c r="I6" s="31" t="s">
        <v>84</v>
      </c>
    </row>
    <row r="7" spans="1:9" ht="17.100000000000001" customHeight="1" x14ac:dyDescent="0.25">
      <c r="A7" s="10" t="s">
        <v>107</v>
      </c>
      <c r="B7" s="18">
        <f>SUMIFS(HicRawData[Beds HH w/o Children],
HicRawData[Project Type],$I$2,
HicRawData[Inventory Type],"C",
HicRawData[HMIS Participating],$I7)</f>
        <v>0</v>
      </c>
      <c r="C7" s="18">
        <f>SUMIFS(HicRawData[Beds HH w/ Children],
HicRawData[Project Type],$I$2,
HicRawData[Inventory Type],"C",
HicRawData[HMIS Participating],$I7)</f>
        <v>0</v>
      </c>
      <c r="D7" s="18">
        <f>SUMIFS(HicRawData[Beds HH w/ only Children],
HicRawData[Project Type],$I$2,
HicRawData[Inventory Type],"C",
HicRawData[HMIS Participating],$I7)</f>
        <v>0</v>
      </c>
      <c r="E7" s="18">
        <f>SUM(SH_HmisParticipation[[#This Row],[Households without Children]:[Households with only Children]])</f>
        <v>0</v>
      </c>
      <c r="I7" s="31" t="s">
        <v>9</v>
      </c>
    </row>
    <row r="8" spans="1:9" ht="17.100000000000001" customHeight="1" x14ac:dyDescent="0.25">
      <c r="A8" s="10" t="s">
        <v>108</v>
      </c>
      <c r="B8" s="18">
        <f>SUMIFS(HicRawData[Beds HH w/o Children],
HicRawData[Project Type],$I$2,
HicRawData[Inventory Type],"C",
HicRawData[HMIS Participating],$I8)</f>
        <v>0</v>
      </c>
      <c r="C8" s="18">
        <f>SUMIFS(HicRawData[Beds HH w/ Children],
HicRawData[Project Type],$I$2,
HicRawData[Inventory Type],"C",
HicRawData[HMIS Participating],$I8)</f>
        <v>0</v>
      </c>
      <c r="D8" s="18">
        <f>SUMIFS(HicRawData[Beds HH w/ only Children],
HicRawData[Project Type],$I$2,
HicRawData[Inventory Type],"C",
HicRawData[HMIS Participating],$I8)</f>
        <v>0</v>
      </c>
      <c r="E8" s="18">
        <f>SUM(SH_HmisParticipation[[#This Row],[Households without Children]:[Households with only Children]])</f>
        <v>0</v>
      </c>
      <c r="I8" s="31" t="s">
        <v>12</v>
      </c>
    </row>
    <row r="9" spans="1:9" ht="17.100000000000001" customHeight="1" x14ac:dyDescent="0.25">
      <c r="A9" s="10" t="s">
        <v>130</v>
      </c>
      <c r="B9" s="18">
        <f>SUMIFS(HicRawData[Beds HH w/o Children],
HicRawData[Project Type],$I$2,
HicRawData[Inventory Type],"C",
HicRawData[HMIS Participating],$I9)</f>
        <v>0</v>
      </c>
      <c r="C9" s="18">
        <f>SUMIFS(HicRawData[Beds HH w/ Children],
HicRawData[Project Type],$I$2,
HicRawData[Inventory Type],"C",
HicRawData[HMIS Participating],$I9)</f>
        <v>0</v>
      </c>
      <c r="D9" s="18">
        <f>SUMIFS(HicRawData[Beds HH w/ only Children],
HicRawData[Project Type],$I$2,
HicRawData[Inventory Type],"C",
HicRawData[HMIS Participating],$I9)</f>
        <v>0</v>
      </c>
      <c r="E9" s="18">
        <f>SUM(SH_HmisParticipation[[#This Row],[Households without Children]:[Households with only Children]])</f>
        <v>0</v>
      </c>
      <c r="I9" s="31" t="s">
        <v>115</v>
      </c>
    </row>
    <row r="10" spans="1:9" ht="17.100000000000001" customHeight="1" x14ac:dyDescent="0.25">
      <c r="A10" s="2" t="s">
        <v>100</v>
      </c>
      <c r="B10" s="18">
        <f>SUBTOTAL(109,SH_HmisParticipation[Households without Children])</f>
        <v>0</v>
      </c>
      <c r="C10" s="18">
        <f>SUBTOTAL(109,SH_HmisParticipation[Households with Children])</f>
        <v>0</v>
      </c>
      <c r="D10" s="18">
        <f>SUBTOTAL(109,SH_HmisParticipation[Households with only Children])</f>
        <v>0</v>
      </c>
      <c r="E10" s="18">
        <f>SUBTOTAL(109,SH_HmisParticipation[Total Year-Round Beds])</f>
        <v>0</v>
      </c>
    </row>
    <row r="11" spans="1:9" ht="15" customHeight="1" x14ac:dyDescent="0.25">
      <c r="A11" s="4" t="s">
        <v>101</v>
      </c>
      <c r="B11" s="19" t="str">
        <f>IF(B7=0,"N/A",B7/SH_HmisParticipation[[#Totals],[Households without Children]])</f>
        <v>N/A</v>
      </c>
      <c r="C11" s="19" t="str">
        <f>IF(C7=0,"N/A",C7/SH_HmisParticipation[[#Totals],[Households with Children]])</f>
        <v>N/A</v>
      </c>
      <c r="D11" s="19" t="str">
        <f>IF(D7=0,"N/A",D7/SH_HmisParticipation[[#Totals],[Households with only Children]])</f>
        <v>N/A</v>
      </c>
      <c r="E11" s="19" t="str">
        <f>IF(E7=0,"N/A",E7/SH_HmisParticipation[[#Totals],[Total Year-Round Beds]])</f>
        <v>N/A</v>
      </c>
      <c r="G11" s="30"/>
    </row>
    <row r="12" spans="1:9" ht="15" customHeight="1" x14ac:dyDescent="0.25">
      <c r="A12" s="4"/>
      <c r="B12" s="5"/>
      <c r="C12" s="5"/>
      <c r="D12" s="5"/>
      <c r="E12" s="5"/>
      <c r="G12" s="30"/>
    </row>
    <row r="13" spans="1:9" ht="72" customHeight="1" x14ac:dyDescent="0.25">
      <c r="A13" s="15" t="s">
        <v>127</v>
      </c>
      <c r="B13" s="15" t="s">
        <v>96</v>
      </c>
      <c r="C13" s="15" t="s">
        <v>97</v>
      </c>
      <c r="D13" s="15" t="s">
        <v>98</v>
      </c>
      <c r="E13" s="15" t="s">
        <v>99</v>
      </c>
      <c r="I13" s="31" t="s">
        <v>84</v>
      </c>
    </row>
    <row r="14" spans="1:9" ht="17.100000000000001" customHeight="1" x14ac:dyDescent="0.25">
      <c r="A14" s="10" t="s">
        <v>113</v>
      </c>
      <c r="B14" s="18">
        <f>SUMIFS(HicRawData[Beds HH w/o Children],
HicRawData[Project Type],$I$2,
HicRawData[Inventory Type],"C",
HicRawData[HMIS Participating],$I14,
HicRawData[Victim Service Provider],0)</f>
        <v>0</v>
      </c>
      <c r="C14" s="18">
        <f>SUMIFS(HicRawData[Beds HH w/ Children],
HicRawData[Project Type],$I$2,
HicRawData[Inventory Type],"C",
HicRawData[HMIS Participating],$I14,
HicRawData[Victim Service Provider],0)</f>
        <v>0</v>
      </c>
      <c r="D14" s="18">
        <f>SUMIFS(HicRawData[Beds HH w/ only Children],
HicRawData[Project Type],$I$2,
HicRawData[Inventory Type],"C",
HicRawData[HMIS Participating],$I14,
HicRawData[Victim Service Provider],0)</f>
        <v>0</v>
      </c>
      <c r="E14" s="18">
        <f>SUM(SH_NonVspHmisParticipation[[#This Row],[Households without Children]:[Households with only Children]])</f>
        <v>0</v>
      </c>
      <c r="I14" s="31" t="s">
        <v>9</v>
      </c>
    </row>
    <row r="15" spans="1:9" ht="17.100000000000001" customHeight="1" x14ac:dyDescent="0.25">
      <c r="A15" s="10" t="s">
        <v>114</v>
      </c>
      <c r="B15" s="18">
        <f>SUMIFS(HicRawData[Beds HH w/o Children],
HicRawData[Project Type],$I$2,
HicRawData[Inventory Type],"C",
HicRawData[HMIS Participating],$I15,
HicRawData[Victim Service Provider],0)</f>
        <v>0</v>
      </c>
      <c r="C15" s="18">
        <f>SUMIFS(HicRawData[Beds HH w/ Children],
HicRawData[Project Type],$I$2,
HicRawData[Inventory Type],"C",
HicRawData[HMIS Participating],$I15,
HicRawData[Victim Service Provider],0)</f>
        <v>0</v>
      </c>
      <c r="D15" s="18">
        <f>SUMIFS(HicRawData[Beds HH w/ only Children],
HicRawData[Project Type],$I$2,
HicRawData[Inventory Type],"C",
HicRawData[HMIS Participating],$I15,
HicRawData[Victim Service Provider],0)</f>
        <v>0</v>
      </c>
      <c r="E15" s="18">
        <f>SUM(SH_NonVspHmisParticipation[[#This Row],[Households without Children]:[Households with only Children]])</f>
        <v>0</v>
      </c>
      <c r="I15" s="31" t="s">
        <v>12</v>
      </c>
    </row>
    <row r="16" spans="1:9" ht="17.100000000000001" customHeight="1" x14ac:dyDescent="0.25">
      <c r="A16" s="10" t="s">
        <v>129</v>
      </c>
      <c r="B16" s="18">
        <f>SUMIFS(HicRawData[Beds HH w/o Children],
HicRawData[Project Type],$I$2,
HicRawData[Inventory Type],"C",
HicRawData[HMIS Participating],$I16,
HicRawData[Victim Service Provider],0)</f>
        <v>0</v>
      </c>
      <c r="C16" s="18">
        <f>SUMIFS(HicRawData[Beds HH w/ Children],
HicRawData[Project Type],$I$2,
HicRawData[Inventory Type],"C",
HicRawData[HMIS Participating],$I16,
HicRawData[Victim Service Provider],0)</f>
        <v>0</v>
      </c>
      <c r="D16" s="18">
        <f>SUMIFS(HicRawData[Beds HH w/ only Children],
HicRawData[Project Type],$I$2,
HicRawData[Inventory Type],"C",
HicRawData[HMIS Participating],$I16,
HicRawData[Victim Service Provider],0)</f>
        <v>0</v>
      </c>
      <c r="E16" s="18">
        <f>SUM(SH_NonVspHmisParticipation[[#This Row],[Households without Children]:[Households with only Children]])</f>
        <v>0</v>
      </c>
      <c r="I16" s="31" t="s">
        <v>115</v>
      </c>
    </row>
    <row r="17" spans="1:9" ht="17.100000000000001" customHeight="1" x14ac:dyDescent="0.25">
      <c r="A17" s="10" t="s">
        <v>100</v>
      </c>
      <c r="B17" s="20">
        <f>SUBTOTAL(109,SH_NonVspHmisParticipation[Households without Children])</f>
        <v>0</v>
      </c>
      <c r="C17" s="20">
        <f>SUBTOTAL(109,SH_NonVspHmisParticipation[Households with Children])</f>
        <v>0</v>
      </c>
      <c r="D17" s="20">
        <f>SUBTOTAL(109,SH_NonVspHmisParticipation[Households with only Children])</f>
        <v>0</v>
      </c>
      <c r="E17" s="20">
        <f>SUBTOTAL(109,SH_NonVspHmisParticipation[Total Year-Round Beds])</f>
        <v>0</v>
      </c>
    </row>
    <row r="18" spans="1:9" ht="15" customHeight="1" x14ac:dyDescent="0.25">
      <c r="A18" s="4" t="s">
        <v>128</v>
      </c>
      <c r="B18" s="19" t="str">
        <f>IF(B14=0,"N/A",B14/SH_NonVspHmisParticipation[[#Totals],[Households without Children]])</f>
        <v>N/A</v>
      </c>
      <c r="C18" s="19" t="str">
        <f>IF(C14=0,"N/A",C14/SH_NonVspHmisParticipation[[#Totals],[Households with Children]])</f>
        <v>N/A</v>
      </c>
      <c r="D18" s="19" t="str">
        <f>IF(D14=0,"N/A",D14/SH_NonVspHmisParticipation[[#Totals],[Households with only Children]])</f>
        <v>N/A</v>
      </c>
      <c r="E18" s="19" t="str">
        <f>IF(E14=0,"N/A",E14/SH_NonVspHmisParticipation[[#Totals],[Total Year-Round Beds]])</f>
        <v>N/A</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14"/>
    </row>
    <row r="21" spans="1:9" ht="17.100000000000001" customHeight="1" x14ac:dyDescent="0.25">
      <c r="A21" s="2" t="s">
        <v>8</v>
      </c>
      <c r="B21" s="22">
        <f>SUMIFS(HicRawData[Beds HH w/o Children],
HicRawData[Project Type],$I$2,
HicRawData[Inventory Type],"C",
HicRawData[Target Population],SH_TargetPopulation[[#This Row],[Beds by Target Population]])</f>
        <v>0</v>
      </c>
      <c r="C21" s="22">
        <f>SUMIFS(HicRawData[Beds HH w/ Children],
HicRawData[Project Type],$I$2,
HicRawData[Inventory Type],"C",
HicRawData[Target Population],SH_TargetPopulation[[#This Row],[Beds by Target Population]])</f>
        <v>0</v>
      </c>
      <c r="D21" s="22">
        <f>SUMIFS(HicRawData[Beds HH w/ only Children],
HicRawData[Project Type],$I$2,
HicRawData[Inventory Type],"C",
HicRawData[Target Population],SH_TargetPopulation[[#This Row],[Beds by Target Population]])</f>
        <v>0</v>
      </c>
      <c r="E21" s="22">
        <f>SUM(SH_TargetPopulation[[#This Row],[Households without Children]:[Households with only Children]])</f>
        <v>0</v>
      </c>
    </row>
    <row r="22" spans="1:9" ht="17.100000000000001" customHeight="1" x14ac:dyDescent="0.25">
      <c r="A22" s="2" t="s">
        <v>10</v>
      </c>
      <c r="B22" s="22">
        <f>SUMIFS(HicRawData[Beds HH w/o Children],
HicRawData[Project Type],$I$2,
HicRawData[Inventory Type],"C",
HicRawData[Target Population],SH_TargetPopulation[[#This Row],[Beds by Target Population]])</f>
        <v>0</v>
      </c>
      <c r="C22" s="22">
        <f>SUMIFS(HicRawData[Beds HH w/ Children],
HicRawData[Project Type],$I$2,
HicRawData[Inventory Type],"C",
HicRawData[Target Population],SH_TargetPopulation[[#This Row],[Beds by Target Population]])</f>
        <v>0</v>
      </c>
      <c r="D22" s="22">
        <f>SUMIFS(HicRawData[Beds HH w/ only Children],
HicRawData[Project Type],$I$2,
HicRawData[Inventory Type],"C",
HicRawData[Target Population],SH_TargetPopulation[[#This Row],[Beds by Target Population]])</f>
        <v>0</v>
      </c>
      <c r="E22" s="22">
        <f>SUM(SH_TargetPopulation[[#This Row],[Households without Children]:[Households with only Children]])</f>
        <v>0</v>
      </c>
    </row>
    <row r="23" spans="1:9" ht="17.100000000000001" customHeight="1" x14ac:dyDescent="0.25">
      <c r="A23" s="2" t="s">
        <v>0</v>
      </c>
      <c r="B23" s="22">
        <f>SUMIFS(HicRawData[Beds HH w/o Children],
HicRawData[Project Type],$I$2,
HicRawData[Inventory Type],"C",
HicRawData[Target Population],SH_TargetPopulation[[#This Row],[Beds by Target Population]])</f>
        <v>0</v>
      </c>
      <c r="C23" s="22">
        <f>SUMIFS(HicRawData[Beds HH w/ Children],
HicRawData[Project Type],$I$2,
HicRawData[Inventory Type],"C",
HicRawData[Target Population],SH_TargetPopulation[[#This Row],[Beds by Target Population]])</f>
        <v>0</v>
      </c>
      <c r="D23" s="22">
        <f>SUMIFS(HicRawData[Beds HH w/ only Children],
HicRawData[Project Type],$I$2,
HicRawData[Inventory Type],"C",
HicRawData[Target Population],SH_TargetPopulation[[#This Row],[Beds by Target Population]])</f>
        <v>0</v>
      </c>
      <c r="E23" s="22">
        <f>SUM(SH_TargetPopulation[[#This Row],[Households without Children]:[Households with only Children]])</f>
        <v>0</v>
      </c>
    </row>
    <row r="24" spans="1:9" ht="15" customHeight="1" x14ac:dyDescent="0.25">
      <c r="A24" s="2" t="s">
        <v>100</v>
      </c>
      <c r="B24" s="23">
        <f>SUBTOTAL(109,SH_TargetPopulation[Households without Children])</f>
        <v>0</v>
      </c>
      <c r="C24" s="23">
        <f>SUBTOTAL(109,SH_TargetPopulation[Households with Children])</f>
        <v>0</v>
      </c>
      <c r="D24" s="23">
        <f>SUBTOTAL(109,SH_TargetPopulation[Households with only Children])</f>
        <v>0</v>
      </c>
      <c r="E24" s="23">
        <f>SUBTOTAL(109,SH_TargetPopulation[Total Year-Round Beds])</f>
        <v>0</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SUMIFS(HicRawData[Beds HH w/o Children],
HicRawData[Project Type],$I$2,
HicRawData[Inventory Type],$I27)</f>
        <v>0</v>
      </c>
      <c r="C27" s="22">
        <f>SUMIFS(HicRawData[Beds HH w/ Children],
HicRawData[Project Type],$I$2,
HicRawData[Inventory Type],$I27)</f>
        <v>0</v>
      </c>
      <c r="D27" s="22">
        <f>SUMIFS(HicRawData[Beds HH w/ only Children],
HicRawData[Project Type],$I$2,
HicRawData[Inventory Type],$I27)</f>
        <v>0</v>
      </c>
      <c r="E27" s="22">
        <f>SUM(SH_InventoryType[[#This Row],[Households without Children]:[Households with only Children]])</f>
        <v>0</v>
      </c>
      <c r="I27" s="31" t="s">
        <v>1</v>
      </c>
    </row>
    <row r="28" spans="1:9" ht="17.100000000000001" customHeight="1" x14ac:dyDescent="0.25">
      <c r="A28" s="2" t="s">
        <v>106</v>
      </c>
      <c r="B28" s="22">
        <f>SUMIFS(HicRawData[Beds HH w/o Children],
HicRawData[Project Type],$I$2,
HicRawData[Inventory Type],$I28)</f>
        <v>0</v>
      </c>
      <c r="C28" s="22">
        <f>SUMIFS(HicRawData[Beds HH w/ Children],
HicRawData[Project Type],$I$2,
HicRawData[Inventory Type],$I28)</f>
        <v>0</v>
      </c>
      <c r="D28" s="22">
        <f>SUMIFS(HicRawData[Beds HH w/ only Children],
HicRawData[Project Type],$I$2,
HicRawData[Inventory Type],$I28)</f>
        <v>0</v>
      </c>
      <c r="E28" s="22">
        <f>SUM(SH_InventoryType[[#This Row],[Households without Children]:[Households with only Children]])</f>
        <v>0</v>
      </c>
      <c r="I28" s="31" t="s">
        <v>6</v>
      </c>
    </row>
    <row r="29" spans="1:9" ht="15" customHeight="1" x14ac:dyDescent="0.25">
      <c r="A29" s="2" t="s">
        <v>100</v>
      </c>
      <c r="B29" s="23">
        <f>SUBTOTAL(109,SH_InventoryType[Households without Children])</f>
        <v>0</v>
      </c>
      <c r="C29" s="23">
        <f>SUBTOTAL(109,SH_InventoryType[Households with Children])</f>
        <v>0</v>
      </c>
      <c r="D29" s="23">
        <f>SUBTOTAL(109,SH_InventoryType[Households with only Children])</f>
        <v>0</v>
      </c>
      <c r="E29" s="23">
        <f>SUBTOTAL(109,SH_InventoryType[Total Year-Round Beds])</f>
        <v>0</v>
      </c>
    </row>
    <row r="30" spans="1:9" ht="15" customHeight="1" x14ac:dyDescent="0.25">
      <c r="B30" s="23"/>
      <c r="C30" s="23"/>
      <c r="D30" s="23"/>
      <c r="E30" s="23"/>
    </row>
    <row r="31" spans="1:9" ht="72" customHeight="1" x14ac:dyDescent="0.25">
      <c r="A31"/>
      <c r="B31"/>
      <c r="C31"/>
      <c r="D31" s="26"/>
      <c r="E31" s="23"/>
      <c r="I31" s="31" t="s">
        <v>84</v>
      </c>
    </row>
    <row r="32" spans="1:9" ht="15" customHeight="1" x14ac:dyDescent="0.25">
      <c r="A32"/>
      <c r="B32"/>
      <c r="C32"/>
      <c r="D32" s="25"/>
      <c r="E32" s="23"/>
      <c r="I32" s="31" t="s">
        <v>9</v>
      </c>
    </row>
    <row r="33" spans="1:12" ht="15" customHeight="1" x14ac:dyDescent="0.25">
      <c r="A33"/>
      <c r="B33"/>
      <c r="C33"/>
      <c r="D33" s="25"/>
      <c r="E33" s="23"/>
      <c r="F33" s="23"/>
      <c r="I33" s="31" t="s">
        <v>12</v>
      </c>
      <c r="J33" s="3"/>
    </row>
    <row r="34" spans="1:12" ht="15" customHeight="1" x14ac:dyDescent="0.25">
      <c r="A34"/>
      <c r="B34"/>
      <c r="C34"/>
      <c r="D34" s="25"/>
      <c r="E34" s="23"/>
      <c r="F34" s="23"/>
      <c r="I34" s="31" t="s">
        <v>115</v>
      </c>
      <c r="J34" s="3"/>
    </row>
    <row r="35" spans="1:12" ht="15" customHeight="1" x14ac:dyDescent="0.25">
      <c r="A35"/>
      <c r="B35"/>
      <c r="C35"/>
      <c r="D35" s="23"/>
      <c r="E35" s="23"/>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SUMIFS(HicRawData[Beds HH w/o Children],
HicRawData[Project Type],$I$2,
HicRawData[Inventory Type],"C",
HicRawData[Project Type], SH_ProjectType[[#This Row],[All Beds by Project Type]])</f>
        <v>0</v>
      </c>
      <c r="C38" s="22">
        <f>SUMIFS(HicRawData[Beds HH w/ Children],
HicRawData[Project Type],$I$2,
HicRawData[Inventory Type],"C",
HicRawData[Project Type], SH_ProjectType[[#This Row],[All Beds by Project Type]])</f>
        <v>0</v>
      </c>
      <c r="D38" s="22">
        <f>SUMIFS(HicRawData[Beds HH w/ only Children],
HicRawData[Project Type],$I$2,
HicRawData[Inventory Type],"C",
HicRawData[Project Type], SH_ProjectType[[#This Row],[All Beds by Project Type]])</f>
        <v>0</v>
      </c>
      <c r="E38" s="22">
        <f>SUM(SH_ProjectType[[#This Row],[Households without Children]:[Households with only Children]])</f>
        <v>0</v>
      </c>
    </row>
    <row r="39" spans="1:12" ht="17.100000000000001" customHeight="1" x14ac:dyDescent="0.25">
      <c r="A39" s="2" t="s">
        <v>2</v>
      </c>
      <c r="B39" s="22">
        <f>SUMIFS(HicRawData[Beds HH w/o Children],
HicRawData[Project Type],$I$2,
HicRawData[Inventory Type],"C",
HicRawData[Project Type], SH_ProjectType[[#This Row],[All Beds by Project Type]])</f>
        <v>0</v>
      </c>
      <c r="C39" s="22">
        <f>SUMIFS(HicRawData[Beds HH w/ Children],
HicRawData[Project Type],$I$2,
HicRawData[Inventory Type],"C",
HicRawData[Project Type], SH_ProjectType[[#This Row],[All Beds by Project Type]])</f>
        <v>0</v>
      </c>
      <c r="D39" s="22">
        <f>SUMIFS(HicRawData[Beds HH w/ only Children],
HicRawData[Project Type],$I$2,
HicRawData[Inventory Type],"C",
HicRawData[Project Type], SH_ProjectType[[#This Row],[All Beds by Project Type]])</f>
        <v>0</v>
      </c>
      <c r="E39" s="22">
        <f>SUM(SH_ProjectType[[#This Row],[Households without Children]:[Households with only Children]])</f>
        <v>0</v>
      </c>
      <c r="H39" s="6"/>
    </row>
    <row r="40" spans="1:12" ht="17.100000000000001" customHeight="1" x14ac:dyDescent="0.25">
      <c r="A40" s="2" t="s">
        <v>11</v>
      </c>
      <c r="B40" s="22">
        <f>SUMIFS(HicRawData[Beds HH w/o Children],
HicRawData[Project Type],$I$2,
HicRawData[Inventory Type],"C",
HicRawData[Project Type], SH_ProjectType[[#This Row],[All Beds by Project Type]])</f>
        <v>0</v>
      </c>
      <c r="C40" s="22">
        <f>SUMIFS(HicRawData[Beds HH w/ Children],
HicRawData[Project Type],$I$2,
HicRawData[Inventory Type],"C",
HicRawData[Project Type], SH_ProjectType[[#This Row],[All Beds by Project Type]])</f>
        <v>0</v>
      </c>
      <c r="D40" s="22">
        <f>SUMIFS(HicRawData[Beds HH w/ only Children],
HicRawData[Project Type],$I$2,
HicRawData[Inventory Type],"C",
HicRawData[Project Type], SH_ProjectType[[#This Row],[All Beds by Project Type]])</f>
        <v>0</v>
      </c>
      <c r="E40" s="22">
        <f>SUM(SH_ProjectType[[#This Row],[Households without Children]:[Households with only Children]])</f>
        <v>0</v>
      </c>
      <c r="H40" s="6"/>
    </row>
    <row r="41" spans="1:12" ht="17.100000000000001" customHeight="1" x14ac:dyDescent="0.25">
      <c r="A41" s="2" t="s">
        <v>4</v>
      </c>
      <c r="B41" s="22">
        <f>SUMIFS(HicRawData[Beds HH w/o Children],
HicRawData[Project Type],$I$2,
HicRawData[Inventory Type],"C",
HicRawData[Project Type], SH_ProjectType[[#This Row],[All Beds by Project Type]])</f>
        <v>0</v>
      </c>
      <c r="C41" s="22">
        <f>SUMIFS(HicRawData[Beds HH w/ Children],
HicRawData[Project Type],$I$2,
HicRawData[Inventory Type],"C",
HicRawData[Project Type], SH_ProjectType[[#This Row],[All Beds by Project Type]])</f>
        <v>0</v>
      </c>
      <c r="D41" s="22">
        <f>SUMIFS(HicRawData[Beds HH w/ only Children],
HicRawData[Project Type],$I$2,
HicRawData[Inventory Type],"C",
HicRawData[Project Type], SH_ProjectType[[#This Row],[All Beds by Project Type]])</f>
        <v>0</v>
      </c>
      <c r="E41" s="22">
        <f>SUM(SH_ProjectType[[#This Row],[Households without Children]:[Households with only Children]])</f>
        <v>0</v>
      </c>
    </row>
    <row r="42" spans="1:12" ht="17.100000000000001" customHeight="1" x14ac:dyDescent="0.25">
      <c r="A42" s="2" t="s">
        <v>5</v>
      </c>
      <c r="B42" s="22">
        <f>SUMIFS(HicRawData[Beds HH w/o Children],
HicRawData[Project Type],$I$2,
HicRawData[Inventory Type],"C",
HicRawData[Project Type], SH_ProjectType[[#This Row],[All Beds by Project Type]])</f>
        <v>0</v>
      </c>
      <c r="C42" s="22">
        <f>SUMIFS(HicRawData[Beds HH w/ Children],
HicRawData[Project Type],$I$2,
HicRawData[Inventory Type],"C",
HicRawData[Project Type], SH_ProjectType[[#This Row],[All Beds by Project Type]])</f>
        <v>0</v>
      </c>
      <c r="D42" s="22">
        <f>SUMIFS(HicRawData[Beds HH w/ only Children],
HicRawData[Project Type],$I$2,
HicRawData[Inventory Type],"C",
HicRawData[Project Type], SH_ProjectType[[#This Row],[All Beds by Project Type]])</f>
        <v>0</v>
      </c>
      <c r="E42" s="22">
        <f>SUM(SH_ProjectType[[#This Row],[Households without Children]:[Households with only Children]])</f>
        <v>0</v>
      </c>
    </row>
    <row r="43" spans="1:12" ht="17.100000000000001" customHeight="1" x14ac:dyDescent="0.25">
      <c r="A43" s="2" t="s">
        <v>7</v>
      </c>
      <c r="B43" s="22">
        <f>SUMIFS(HicRawData[Beds HH w/o Children],
HicRawData[Project Type],$I$2,
HicRawData[Inventory Type],"C",
HicRawData[Project Type], SH_ProjectType[[#This Row],[All Beds by Project Type]])</f>
        <v>0</v>
      </c>
      <c r="C43" s="22">
        <f>SUMIFS(HicRawData[Beds HH w/ Children],
HicRawData[Project Type],$I$2,
HicRawData[Inventory Type],"C",
HicRawData[Project Type], SH_ProjectType[[#This Row],[All Beds by Project Type]])</f>
        <v>0</v>
      </c>
      <c r="D43" s="22">
        <f>SUMIFS(HicRawData[Beds HH w/ only Children],
HicRawData[Project Type],$I$2,
HicRawData[Inventory Type],"C",
HicRawData[Project Type], SH_ProjectType[[#This Row],[All Beds by Project Type]])</f>
        <v>0</v>
      </c>
      <c r="E43" s="22">
        <f>SUM(SH_ProjectType[[#This Row],[Households without Children]:[Households with only Children]])</f>
        <v>0</v>
      </c>
    </row>
    <row r="44" spans="1:12" ht="15" customHeight="1" x14ac:dyDescent="0.25">
      <c r="A44" s="2" t="s">
        <v>100</v>
      </c>
      <c r="B44" s="23">
        <f>SUBTOTAL(109,SH_ProjectType[Households without Children])</f>
        <v>0</v>
      </c>
      <c r="C44" s="23">
        <f>SUBTOTAL(109,SH_ProjectType[Households with Children])</f>
        <v>0</v>
      </c>
      <c r="D44" s="23">
        <f>SUBTOTAL(109,SH_ProjectType[Households with only Children])</f>
        <v>0</v>
      </c>
      <c r="E44" s="23">
        <f>SUBTOTAL(109,SH_ProjectType[Total Year-Round Beds])</f>
        <v>0</v>
      </c>
    </row>
    <row r="45" spans="1:12" ht="15" customHeight="1" x14ac:dyDescent="0.25">
      <c r="B45" s="23"/>
      <c r="C45" s="23"/>
      <c r="D45" s="23"/>
      <c r="E45" s="23"/>
    </row>
    <row r="46" spans="1:12" ht="72" customHeight="1" x14ac:dyDescent="0.25">
      <c r="A46" s="16" t="s">
        <v>125</v>
      </c>
      <c r="B46" s="16" t="s">
        <v>96</v>
      </c>
      <c r="C46" s="16" t="s">
        <v>97</v>
      </c>
      <c r="D46" s="16" t="s">
        <v>98</v>
      </c>
      <c r="E46" s="16" t="s">
        <v>99</v>
      </c>
      <c r="J46" s="12"/>
      <c r="K46" s="12"/>
      <c r="L46" s="12"/>
    </row>
    <row r="47" spans="1:12" ht="17.100000000000001" customHeight="1" x14ac:dyDescent="0.25">
      <c r="A47" s="2" t="s">
        <v>3</v>
      </c>
      <c r="B47" s="22">
        <f>SUMIFS(HicRawData[Beds HH w/o Children],
HicRawData[Project Type],$I$2,
HicRawData[Inventory Type],"C",
HicRawData[Project Type], SH_ProjectTypeHmisParticipation[[#This Row],[HMIS Beds by Project Type]],
HicRawData[HMIS Participating], "Yes")</f>
        <v>0</v>
      </c>
      <c r="C47" s="22">
        <f>SUMIFS(HicRawData[Beds HH w/ Children],
HicRawData[Project Type],$I$2,
HicRawData[Inventory Type],"C",
HicRawData[Project Type], SH_ProjectTypeHmisParticipation[[#This Row],[HMIS Beds by Project Type]],
HicRawData[HMIS Participating], "Yes")</f>
        <v>0</v>
      </c>
      <c r="D47" s="22">
        <f>SUMIFS(HicRawData[Beds HH w/ only Children],
HicRawData[Project Type],$I$2,
HicRawData[Inventory Type],"C",
HicRawData[Project Type], SH_ProjectTypeHmisParticipation[[#This Row],[HMIS Beds by Project Type]],
HicRawData[HMIS Participating], "Yes")</f>
        <v>0</v>
      </c>
      <c r="E47" s="21">
        <f>B47+C47+D47</f>
        <v>0</v>
      </c>
    </row>
    <row r="48" spans="1:12" ht="17.100000000000001" customHeight="1" x14ac:dyDescent="0.25">
      <c r="A48" s="2" t="s">
        <v>2</v>
      </c>
      <c r="B48" s="21">
        <f>SUMIFS(HicRawData[Beds HH w/o Children],
HicRawData[Project Type],$I$2,
HicRawData[Inventory Type],"C",
HicRawData[Project Type], SH_ProjectTypeHmisParticipation[[#This Row],[HMIS Beds by Project Type]],
HicRawData[HMIS Participating], "Yes")</f>
        <v>0</v>
      </c>
      <c r="C48" s="21">
        <f>SUMIFS(HicRawData[Beds HH w/ Children],
HicRawData[Project Type],$I$2,
HicRawData[Inventory Type],"C",
HicRawData[Project Type], SH_ProjectTypeHmisParticipation[[#This Row],[HMIS Beds by Project Type]],
HicRawData[HMIS Participating], "Yes")</f>
        <v>0</v>
      </c>
      <c r="D48" s="21">
        <f>SUMIFS(HicRawData[Beds HH w/ only Children],
HicRawData[Project Type],$I$2,
HicRawData[Inventory Type],"C",
HicRawData[Project Type], SH_ProjectTypeHmisParticipation[[#This Row],[HMIS Beds by Project Type]],
HicRawData[HMIS Participating], "Yes")</f>
        <v>0</v>
      </c>
      <c r="E48" s="21">
        <f t="shared" ref="E48:E52" si="0">B48+C48+D48</f>
        <v>0</v>
      </c>
    </row>
    <row r="49" spans="1:5" ht="17.100000000000001" customHeight="1" x14ac:dyDescent="0.25">
      <c r="A49" s="2" t="s">
        <v>11</v>
      </c>
      <c r="B49" s="21">
        <f>SUMIFS(HicRawData[Beds HH w/o Children],
HicRawData[Project Type],$I$2,
HicRawData[Inventory Type],"C",
HicRawData[Project Type], SH_ProjectTypeHmisParticipation[[#This Row],[HMIS Beds by Project Type]],
HicRawData[HMIS Participating], "Yes")</f>
        <v>0</v>
      </c>
      <c r="C49" s="21">
        <f>SUMIFS(HicRawData[Beds HH w/ Children],
HicRawData[Project Type],$I$2,
HicRawData[Inventory Type],"C",
HicRawData[Project Type], SH_ProjectTypeHmisParticipation[[#This Row],[HMIS Beds by Project Type]],
HicRawData[HMIS Participating], "Yes")</f>
        <v>0</v>
      </c>
      <c r="D49" s="21">
        <f>SUMIFS(HicRawData[Beds HH w/ only Children],
HicRawData[Project Type],$I$2,
HicRawData[Inventory Type],"C",
HicRawData[Project Type], SH_ProjectTypeHmisParticipation[[#This Row],[HMIS Beds by Project Type]],
HicRawData[HMIS Participating], "Yes")</f>
        <v>0</v>
      </c>
      <c r="E49" s="21">
        <f t="shared" si="0"/>
        <v>0</v>
      </c>
    </row>
    <row r="50" spans="1:5" ht="17.100000000000001" customHeight="1" x14ac:dyDescent="0.25">
      <c r="A50" s="2" t="s">
        <v>4</v>
      </c>
      <c r="B50" s="21">
        <f>SUMIFS(HicRawData[Beds HH w/o Children],
HicRawData[Project Type],$I$2,
HicRawData[Inventory Type],"C",
HicRawData[Project Type], SH_ProjectTypeHmisParticipation[[#This Row],[HMIS Beds by Project Type]],
HicRawData[HMIS Participating], "Yes")</f>
        <v>0</v>
      </c>
      <c r="C50" s="21">
        <f>SUMIFS(HicRawData[Beds HH w/ Children],
HicRawData[Project Type],$I$2,
HicRawData[Inventory Type],"C",
HicRawData[Project Type], SH_ProjectTypeHmisParticipation[[#This Row],[HMIS Beds by Project Type]],
HicRawData[HMIS Participating], "Yes")</f>
        <v>0</v>
      </c>
      <c r="D50" s="21">
        <f>SUMIFS(HicRawData[Beds HH w/ only Children],
HicRawData[Project Type],$I$2,
HicRawData[Inventory Type],"C",
HicRawData[Project Type], SH_ProjectTypeHmisParticipation[[#This Row],[HMIS Beds by Project Type]],
HicRawData[HMIS Participating], "Yes")</f>
        <v>0</v>
      </c>
      <c r="E50" s="21">
        <f t="shared" si="0"/>
        <v>0</v>
      </c>
    </row>
    <row r="51" spans="1:5" ht="17.100000000000001" customHeight="1" x14ac:dyDescent="0.25">
      <c r="A51" s="2" t="s">
        <v>5</v>
      </c>
      <c r="B51" s="21">
        <f>SUMIFS(HicRawData[Beds HH w/o Children],
HicRawData[Project Type],$I$2,
HicRawData[Inventory Type],"C",
HicRawData[Project Type], SH_ProjectTypeHmisParticipation[[#This Row],[HMIS Beds by Project Type]],
HicRawData[HMIS Participating], "Yes")</f>
        <v>0</v>
      </c>
      <c r="C51" s="21">
        <f>SUMIFS(HicRawData[Beds HH w/ Children],
HicRawData[Project Type],$I$2,
HicRawData[Inventory Type],"C",
HicRawData[Project Type], SH_ProjectTypeHmisParticipation[[#This Row],[HMIS Beds by Project Type]],
HicRawData[HMIS Participating], "Yes")</f>
        <v>0</v>
      </c>
      <c r="D51" s="21">
        <f>SUMIFS(HicRawData[Beds HH w/ only Children],
HicRawData[Project Type],$I$2,
HicRawData[Inventory Type],"C",
HicRawData[Project Type], SH_ProjectTypeHmisParticipation[[#This Row],[HMIS Beds by Project Type]],
HicRawData[HMIS Participating], "Yes")</f>
        <v>0</v>
      </c>
      <c r="E51" s="21">
        <f t="shared" si="0"/>
        <v>0</v>
      </c>
    </row>
    <row r="52" spans="1:5" ht="17.100000000000001" customHeight="1" x14ac:dyDescent="0.25">
      <c r="A52" s="2" t="s">
        <v>7</v>
      </c>
      <c r="B52" s="21">
        <f>SUMIFS(HicRawData[Beds HH w/o Children],
HicRawData[Project Type],$I$2,
HicRawData[Inventory Type],"C",
HicRawData[Project Type], SH_ProjectTypeHmisParticipation[[#This Row],[HMIS Beds by Project Type]],
HicRawData[HMIS Participating], "Yes")</f>
        <v>0</v>
      </c>
      <c r="C52" s="21">
        <f>SUMIFS(HicRawData[Beds HH w/ Children],
HicRawData[Project Type],$I$2,
HicRawData[Inventory Type],"C",
HicRawData[Project Type], SH_ProjectTypeHmisParticipation[[#This Row],[HMIS Beds by Project Type]],
HicRawData[HMIS Participating], "Yes")</f>
        <v>0</v>
      </c>
      <c r="D52" s="21">
        <f>SUMIFS(HicRawData[Beds HH w/ only Children],
HicRawData[Project Type],$I$2,
HicRawData[Inventory Type],"C",
HicRawData[Project Type], SH_ProjectTypeHmisParticipation[[#This Row],[HMIS Beds by Project Type]],
HicRawData[HMIS Participating], "Yes")</f>
        <v>0</v>
      </c>
      <c r="E52" s="21">
        <f t="shared" si="0"/>
        <v>0</v>
      </c>
    </row>
    <row r="53" spans="1:5" x14ac:dyDescent="0.25">
      <c r="A53" s="2" t="s">
        <v>100</v>
      </c>
      <c r="B53" s="24">
        <f>SUBTOTAL(109,SH_ProjectTypeHmisParticipation[Households without Children])</f>
        <v>0</v>
      </c>
      <c r="C53" s="24">
        <f>SUBTOTAL(109,SH_ProjectTypeHmisParticipation[Households with Children])</f>
        <v>0</v>
      </c>
      <c r="D53" s="24">
        <f>SUBTOTAL(109,SH_ProjectTypeHmisParticipation[Households with only Children])</f>
        <v>0</v>
      </c>
      <c r="E53" s="21">
        <f>SUBTOTAL(109,SH_ProjectTypeHmisParticipation[Total Year-Round Beds])</f>
        <v>0</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10"/>
      <c r="B60" s="11"/>
    </row>
    <row r="61" spans="1:5" x14ac:dyDescent="0.25">
      <c r="A61" s="10"/>
      <c r="B61" s="11"/>
    </row>
    <row r="62" spans="1:5" x14ac:dyDescent="0.25">
      <c r="A62" s="10"/>
      <c r="B62" s="11"/>
    </row>
    <row r="63" spans="1:5" x14ac:dyDescent="0.25">
      <c r="A63" s="10"/>
      <c r="B63" s="1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CPFzYrJJl9GVsKec/d5AFFN/aZhQwBJ06fwABxDfhptdxsQBRmvtl5zGDM2GoOQ05pXJIrTN7gsl9tSPMfF2HA==" saltValue="9Rh6KORwr9sTBitUcceu8Q==" spinCount="100000" sheet="1" objects="1" scenarios="1"/>
  <conditionalFormatting sqref="A4:G4">
    <cfRule type="expression" dxfId="112"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6A67E-E30D-446A-A018-FDC4DD44F7E5}">
  <sheetPr codeName="Sheet6"/>
  <dimension ref="A1:L97"/>
  <sheetViews>
    <sheetView zoomScaleNormal="100" workbookViewId="0"/>
  </sheetViews>
  <sheetFormatPr defaultColWidth="0" defaultRowHeight="15" zeroHeight="1" x14ac:dyDescent="0.25"/>
  <cols>
    <col min="1" max="1" width="31.7109375" style="2" customWidth="1"/>
    <col min="2" max="7" width="16.7109375" style="2" customWidth="1"/>
    <col min="8" max="8" width="9.140625" style="2" hidden="1" customWidth="1"/>
    <col min="9" max="9" width="9.140625" style="31" hidden="1" customWidth="1"/>
    <col min="10" max="10" width="9.140625" style="2" hidden="1" customWidth="1"/>
    <col min="11" max="12" width="0" style="2" hidden="1" customWidth="1"/>
    <col min="13" max="16384" width="9.140625" style="2" hidden="1"/>
  </cols>
  <sheetData>
    <row r="1" spans="1:9" ht="21" customHeight="1" x14ac:dyDescent="0.25">
      <c r="A1" s="27" t="s">
        <v>112</v>
      </c>
      <c r="B1" s="28"/>
      <c r="C1" s="28"/>
      <c r="D1" s="28"/>
      <c r="E1" s="28"/>
      <c r="F1" s="28"/>
      <c r="G1" s="28"/>
      <c r="I1" s="31" t="s">
        <v>86</v>
      </c>
    </row>
    <row r="2" spans="1:9" ht="18" customHeight="1" x14ac:dyDescent="0.25">
      <c r="A2" s="29" t="str">
        <f>CONCATENATE(IF(I2="*","All",I2)," Beds Summary")</f>
        <v>PSH Beds Summary</v>
      </c>
      <c r="B2" s="28"/>
      <c r="C2" s="28"/>
      <c r="D2" s="28"/>
      <c r="E2" s="28"/>
      <c r="F2" s="28"/>
      <c r="G2" s="28"/>
      <c r="I2" s="31" t="s">
        <v>5</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G5" s="14"/>
      <c r="H5" s="14"/>
    </row>
    <row r="6" spans="1:9" ht="72" customHeight="1" x14ac:dyDescent="0.25">
      <c r="A6" s="16" t="s">
        <v>102</v>
      </c>
      <c r="B6" s="16" t="s">
        <v>96</v>
      </c>
      <c r="C6" s="16" t="s">
        <v>97</v>
      </c>
      <c r="D6" s="16" t="s">
        <v>98</v>
      </c>
      <c r="E6" s="16" t="s">
        <v>99</v>
      </c>
      <c r="I6" s="31" t="s">
        <v>84</v>
      </c>
    </row>
    <row r="7" spans="1:9" ht="17.100000000000001" customHeight="1" x14ac:dyDescent="0.25">
      <c r="A7" s="10" t="s">
        <v>107</v>
      </c>
      <c r="B7" s="18">
        <f>SUMIFS(HicRawData[Beds HH w/o Children],
HicRawData[Project Type],$I$2,
HicRawData[Inventory Type],"C",
HicRawData[HMIS Participating],$I7)</f>
        <v>40</v>
      </c>
      <c r="C7" s="18">
        <f>SUMIFS(HicRawData[Beds HH w/ Children],
HicRawData[Project Type],$I$2,
HicRawData[Inventory Type],"C",
HicRawData[HMIS Participating],$I7)</f>
        <v>26</v>
      </c>
      <c r="D7" s="18">
        <f>SUMIFS(HicRawData[Beds HH w/ only Children],
HicRawData[Project Type],$I$2,
HicRawData[Inventory Type],"C",
HicRawData[HMIS Participating],$I7)</f>
        <v>0</v>
      </c>
      <c r="E7" s="18">
        <f>SUM(PSH_HmisParticipation[[#This Row],[Households without Children]:[Households with only Children]])</f>
        <v>66</v>
      </c>
      <c r="I7" s="31" t="s">
        <v>9</v>
      </c>
    </row>
    <row r="8" spans="1:9" ht="17.100000000000001" customHeight="1" x14ac:dyDescent="0.25">
      <c r="A8" s="10" t="s">
        <v>108</v>
      </c>
      <c r="B8" s="18">
        <f>SUMIFS(HicRawData[Beds HH w/o Children],
HicRawData[Project Type],$I$2,
HicRawData[Inventory Type],"C",
HicRawData[HMIS Participating],$I8)</f>
        <v>75</v>
      </c>
      <c r="C8" s="18">
        <f>SUMIFS(HicRawData[Beds HH w/ Children],
HicRawData[Project Type],$I$2,
HicRawData[Inventory Type],"C",
HicRawData[HMIS Participating],$I8)</f>
        <v>75</v>
      </c>
      <c r="D8" s="18">
        <f>SUMIFS(HicRawData[Beds HH w/ only Children],
HicRawData[Project Type],$I$2,
HicRawData[Inventory Type],"C",
HicRawData[HMIS Participating],$I8)</f>
        <v>0</v>
      </c>
      <c r="E8" s="18">
        <f>SUM(PSH_HmisParticipation[[#This Row],[Households without Children]:[Households with only Children]])</f>
        <v>150</v>
      </c>
      <c r="I8" s="31" t="s">
        <v>12</v>
      </c>
    </row>
    <row r="9" spans="1:9" ht="17.100000000000001" customHeight="1" x14ac:dyDescent="0.25">
      <c r="A9" s="10" t="s">
        <v>130</v>
      </c>
      <c r="B9" s="18">
        <f>SUMIFS(HicRawData[Beds HH w/o Children],
HicRawData[Project Type],$I$2,
HicRawData[Inventory Type],"C",
HicRawData[HMIS Participating],$I9)</f>
        <v>0</v>
      </c>
      <c r="C9" s="18">
        <f>SUMIFS(HicRawData[Beds HH w/ Children],
HicRawData[Project Type],$I$2,
HicRawData[Inventory Type],"C",
HicRawData[HMIS Participating],$I9)</f>
        <v>0</v>
      </c>
      <c r="D9" s="18">
        <f>SUMIFS(HicRawData[Beds HH w/ only Children],
HicRawData[Project Type],$I$2,
HicRawData[Inventory Type],"C",
HicRawData[HMIS Participating],$I9)</f>
        <v>0</v>
      </c>
      <c r="E9" s="18">
        <f>SUM(PSH_HmisParticipation[[#This Row],[Households without Children]:[Households with only Children]])</f>
        <v>0</v>
      </c>
      <c r="I9" s="31" t="s">
        <v>115</v>
      </c>
    </row>
    <row r="10" spans="1:9" ht="17.100000000000001" customHeight="1" x14ac:dyDescent="0.25">
      <c r="A10" s="2" t="s">
        <v>100</v>
      </c>
      <c r="B10" s="18">
        <f>SUBTOTAL(109,PSH_HmisParticipation[Households without Children])</f>
        <v>115</v>
      </c>
      <c r="C10" s="18">
        <f>SUBTOTAL(109,PSH_HmisParticipation[Households with Children])</f>
        <v>101</v>
      </c>
      <c r="D10" s="18">
        <f>SUBTOTAL(109,PSH_HmisParticipation[Households with only Children])</f>
        <v>0</v>
      </c>
      <c r="E10" s="18">
        <f>SUBTOTAL(109,PSH_HmisParticipation[Total Year-Round Beds])</f>
        <v>216</v>
      </c>
    </row>
    <row r="11" spans="1:9" ht="15" customHeight="1" x14ac:dyDescent="0.25">
      <c r="A11" s="4" t="s">
        <v>101</v>
      </c>
      <c r="B11" s="19">
        <f>IF(B7=0,"N/A",B7/PSH_HmisParticipation[[#Totals],[Households without Children]])</f>
        <v>0.34782608695652173</v>
      </c>
      <c r="C11" s="19">
        <f>IF(C7=0,"N/A",C7/PSH_HmisParticipation[[#Totals],[Households with Children]])</f>
        <v>0.25742574257425743</v>
      </c>
      <c r="D11" s="19" t="str">
        <f>IF(D7=0,"N/A",D7/PSH_HmisParticipation[[#Totals],[Households with only Children]])</f>
        <v>N/A</v>
      </c>
      <c r="E11" s="19">
        <f>IF(E7=0,"N/A",E7/PSH_HmisParticipation[[#Totals],[Total Year-Round Beds]])</f>
        <v>0.30555555555555558</v>
      </c>
      <c r="G11" s="30"/>
    </row>
    <row r="12" spans="1:9" ht="15" customHeight="1" x14ac:dyDescent="0.25">
      <c r="A12" s="4"/>
      <c r="B12" s="5"/>
      <c r="C12" s="5"/>
      <c r="D12" s="5"/>
      <c r="E12" s="5"/>
      <c r="G12" s="30"/>
    </row>
    <row r="13" spans="1:9" ht="72" customHeight="1" x14ac:dyDescent="0.25">
      <c r="A13" s="15" t="s">
        <v>127</v>
      </c>
      <c r="B13" s="15" t="s">
        <v>96</v>
      </c>
      <c r="C13" s="15" t="s">
        <v>97</v>
      </c>
      <c r="D13" s="15" t="s">
        <v>98</v>
      </c>
      <c r="E13" s="15" t="s">
        <v>99</v>
      </c>
      <c r="I13" s="31" t="s">
        <v>84</v>
      </c>
    </row>
    <row r="14" spans="1:9" ht="17.100000000000001" customHeight="1" x14ac:dyDescent="0.25">
      <c r="A14" s="10" t="s">
        <v>113</v>
      </c>
      <c r="B14" s="18">
        <f>SUMIFS(HicRawData[Beds HH w/o Children],
HicRawData[Project Type],$I$2,
HicRawData[Inventory Type],"C",
HicRawData[HMIS Participating],$I14,
HicRawData[Victim Service Provider],0)</f>
        <v>40</v>
      </c>
      <c r="C14" s="18">
        <f>SUMIFS(HicRawData[Beds HH w/ Children],
HicRawData[Project Type],$I$2,
HicRawData[Inventory Type],"C",
HicRawData[HMIS Participating],$I14,
HicRawData[Victim Service Provider],0)</f>
        <v>26</v>
      </c>
      <c r="D14" s="18">
        <f>SUMIFS(HicRawData[Beds HH w/ only Children],
HicRawData[Project Type],$I$2,
HicRawData[Inventory Type],"C",
HicRawData[HMIS Participating],$I14,
HicRawData[Victim Service Provider],0)</f>
        <v>0</v>
      </c>
      <c r="E14" s="18">
        <f>SUM(PSH_NonVspHmisParticipation[[#This Row],[Households without Children]:[Households with only Children]])</f>
        <v>66</v>
      </c>
      <c r="I14" s="31" t="s">
        <v>9</v>
      </c>
    </row>
    <row r="15" spans="1:9" ht="17.100000000000001" customHeight="1" x14ac:dyDescent="0.25">
      <c r="A15" s="10" t="s">
        <v>114</v>
      </c>
      <c r="B15" s="18">
        <f>SUMIFS(HicRawData[Beds HH w/o Children],
HicRawData[Project Type],$I$2,
HicRawData[Inventory Type],"C",
HicRawData[HMIS Participating],$I15,
HicRawData[Victim Service Provider],0)</f>
        <v>75</v>
      </c>
      <c r="C15" s="18">
        <f>SUMIFS(HicRawData[Beds HH w/ Children],
HicRawData[Project Type],$I$2,
HicRawData[Inventory Type],"C",
HicRawData[HMIS Participating],$I15,
HicRawData[Victim Service Provider],0)</f>
        <v>75</v>
      </c>
      <c r="D15" s="18">
        <f>SUMIFS(HicRawData[Beds HH w/ only Children],
HicRawData[Project Type],$I$2,
HicRawData[Inventory Type],"C",
HicRawData[HMIS Participating],$I15,
HicRawData[Victim Service Provider],0)</f>
        <v>0</v>
      </c>
      <c r="E15" s="18">
        <f>SUM(PSH_NonVspHmisParticipation[[#This Row],[Households without Children]:[Households with only Children]])</f>
        <v>150</v>
      </c>
      <c r="I15" s="31" t="s">
        <v>12</v>
      </c>
    </row>
    <row r="16" spans="1:9" ht="17.100000000000001" customHeight="1" x14ac:dyDescent="0.25">
      <c r="A16" s="10" t="s">
        <v>129</v>
      </c>
      <c r="B16" s="18">
        <f>SUMIFS(HicRawData[Beds HH w/o Children],
HicRawData[Project Type],$I$2,
HicRawData[Inventory Type],"C",
HicRawData[HMIS Participating],$I16,
HicRawData[Victim Service Provider],0)</f>
        <v>0</v>
      </c>
      <c r="C16" s="18">
        <f>SUMIFS(HicRawData[Beds HH w/ Children],
HicRawData[Project Type],$I$2,
HicRawData[Inventory Type],"C",
HicRawData[HMIS Participating],$I16,
HicRawData[Victim Service Provider],0)</f>
        <v>0</v>
      </c>
      <c r="D16" s="18">
        <f>SUMIFS(HicRawData[Beds HH w/ only Children],
HicRawData[Project Type],$I$2,
HicRawData[Inventory Type],"C",
HicRawData[HMIS Participating],$I16,
HicRawData[Victim Service Provider],0)</f>
        <v>0</v>
      </c>
      <c r="E16" s="18">
        <f>SUM(PSH_NonVspHmisParticipation[[#This Row],[Households without Children]:[Households with only Children]])</f>
        <v>0</v>
      </c>
      <c r="I16" s="31" t="s">
        <v>115</v>
      </c>
    </row>
    <row r="17" spans="1:9" ht="17.100000000000001" customHeight="1" x14ac:dyDescent="0.25">
      <c r="A17" s="10" t="s">
        <v>100</v>
      </c>
      <c r="B17" s="20">
        <f>SUBTOTAL(109,PSH_NonVspHmisParticipation[Households without Children])</f>
        <v>115</v>
      </c>
      <c r="C17" s="20">
        <f>SUBTOTAL(109,PSH_NonVspHmisParticipation[Households with Children])</f>
        <v>101</v>
      </c>
      <c r="D17" s="20">
        <f>SUBTOTAL(109,PSH_NonVspHmisParticipation[Households with only Children])</f>
        <v>0</v>
      </c>
      <c r="E17" s="20">
        <f>SUBTOTAL(109,PSH_NonVspHmisParticipation[Total Year-Round Beds])</f>
        <v>216</v>
      </c>
    </row>
    <row r="18" spans="1:9" ht="15" customHeight="1" x14ac:dyDescent="0.25">
      <c r="A18" s="4" t="s">
        <v>128</v>
      </c>
      <c r="B18" s="19">
        <f>IF(B14=0,"N/A",B14/PSH_NonVspHmisParticipation[[#Totals],[Households without Children]])</f>
        <v>0.34782608695652173</v>
      </c>
      <c r="C18" s="19">
        <f>IF(C14=0,"N/A",C14/PSH_NonVspHmisParticipation[[#Totals],[Households with Children]])</f>
        <v>0.25742574257425743</v>
      </c>
      <c r="D18" s="19" t="str">
        <f>IF(D14=0,"N/A",D14/PSH_NonVspHmisParticipation[[#Totals],[Households with only Children]])</f>
        <v>N/A</v>
      </c>
      <c r="E18" s="19">
        <f>IF(E14=0,"N/A",E14/PSH_NonVspHmisParticipation[[#Totals],[Total Year-Round Beds]])</f>
        <v>0.30555555555555558</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14"/>
    </row>
    <row r="21" spans="1:9" ht="17.100000000000001" customHeight="1" x14ac:dyDescent="0.25">
      <c r="A21" s="2" t="s">
        <v>8</v>
      </c>
      <c r="B21" s="22">
        <f>SUMIFS(HicRawData[Beds HH w/o Children],
HicRawData[Project Type],$I$2,
HicRawData[Inventory Type],"C",
HicRawData[Target Population],PSH_TargetPopulation[[#This Row],[Beds by Target Population]])</f>
        <v>0</v>
      </c>
      <c r="C21" s="22">
        <f>SUMIFS(HicRawData[Beds HH w/ Children],
HicRawData[Project Type],$I$2,
HicRawData[Inventory Type],"C",
HicRawData[Target Population],PSH_TargetPopulation[[#This Row],[Beds by Target Population]])</f>
        <v>0</v>
      </c>
      <c r="D21" s="22">
        <f>SUMIFS(HicRawData[Beds HH w/ only Children],
HicRawData[Project Type],$I$2,
HicRawData[Inventory Type],"C",
HicRawData[Target Population],PSH_TargetPopulation[[#This Row],[Beds by Target Population]])</f>
        <v>0</v>
      </c>
      <c r="E21" s="22">
        <f>SUM(PSH_TargetPopulation[[#This Row],[Households without Children]:[Households with only Children]])</f>
        <v>0</v>
      </c>
    </row>
    <row r="22" spans="1:9" ht="17.100000000000001" customHeight="1" x14ac:dyDescent="0.25">
      <c r="A22" s="2" t="s">
        <v>10</v>
      </c>
      <c r="B22" s="22">
        <f>SUMIFS(HicRawData[Beds HH w/o Children],
HicRawData[Project Type],$I$2,
HicRawData[Inventory Type],"C",
HicRawData[Target Population],PSH_TargetPopulation[[#This Row],[Beds by Target Population]])</f>
        <v>0</v>
      </c>
      <c r="C22" s="22">
        <f>SUMIFS(HicRawData[Beds HH w/ Children],
HicRawData[Project Type],$I$2,
HicRawData[Inventory Type],"C",
HicRawData[Target Population],PSH_TargetPopulation[[#This Row],[Beds by Target Population]])</f>
        <v>0</v>
      </c>
      <c r="D22" s="22">
        <f>SUMIFS(HicRawData[Beds HH w/ only Children],
HicRawData[Project Type],$I$2,
HicRawData[Inventory Type],"C",
HicRawData[Target Population],PSH_TargetPopulation[[#This Row],[Beds by Target Population]])</f>
        <v>0</v>
      </c>
      <c r="E22" s="22">
        <f>SUM(PSH_TargetPopulation[[#This Row],[Households without Children]:[Households with only Children]])</f>
        <v>0</v>
      </c>
    </row>
    <row r="23" spans="1:9" ht="17.100000000000001" customHeight="1" x14ac:dyDescent="0.25">
      <c r="A23" s="2" t="s">
        <v>0</v>
      </c>
      <c r="B23" s="22">
        <f>SUMIFS(HicRawData[Beds HH w/o Children],
HicRawData[Project Type],$I$2,
HicRawData[Inventory Type],"C",
HicRawData[Target Population],PSH_TargetPopulation[[#This Row],[Beds by Target Population]])</f>
        <v>115</v>
      </c>
      <c r="C23" s="22">
        <f>SUMIFS(HicRawData[Beds HH w/ Children],
HicRawData[Project Type],$I$2,
HicRawData[Inventory Type],"C",
HicRawData[Target Population],PSH_TargetPopulation[[#This Row],[Beds by Target Population]])</f>
        <v>101</v>
      </c>
      <c r="D23" s="22">
        <f>SUMIFS(HicRawData[Beds HH w/ only Children],
HicRawData[Project Type],$I$2,
HicRawData[Inventory Type],"C",
HicRawData[Target Population],PSH_TargetPopulation[[#This Row],[Beds by Target Population]])</f>
        <v>0</v>
      </c>
      <c r="E23" s="22">
        <f>SUM(PSH_TargetPopulation[[#This Row],[Households without Children]:[Households with only Children]])</f>
        <v>216</v>
      </c>
    </row>
    <row r="24" spans="1:9" ht="15" customHeight="1" x14ac:dyDescent="0.25">
      <c r="A24" s="2" t="s">
        <v>100</v>
      </c>
      <c r="B24" s="23">
        <f>SUBTOTAL(109,PSH_TargetPopulation[Households without Children])</f>
        <v>115</v>
      </c>
      <c r="C24" s="23">
        <f>SUBTOTAL(109,PSH_TargetPopulation[Households with Children])</f>
        <v>101</v>
      </c>
      <c r="D24" s="23">
        <f>SUBTOTAL(109,PSH_TargetPopulation[Households with only Children])</f>
        <v>0</v>
      </c>
      <c r="E24" s="23">
        <f>SUBTOTAL(109,PSH_TargetPopulation[Total Year-Round Beds])</f>
        <v>216</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SUMIFS(HicRawData[Beds HH w/o Children],
HicRawData[Project Type],$I$2,
HicRawData[Inventory Type],$I27)</f>
        <v>115</v>
      </c>
      <c r="C27" s="22">
        <f>SUMIFS(HicRawData[Beds HH w/ Children],
HicRawData[Project Type],$I$2,
HicRawData[Inventory Type],$I27)</f>
        <v>101</v>
      </c>
      <c r="D27" s="22">
        <f>SUMIFS(HicRawData[Beds HH w/ only Children],
HicRawData[Project Type],$I$2,
HicRawData[Inventory Type],$I27)</f>
        <v>0</v>
      </c>
      <c r="E27" s="22">
        <f>SUM(PSH_InventoryType[[#This Row],[Households without Children]:[Households with only Children]])</f>
        <v>216</v>
      </c>
      <c r="I27" s="31" t="s">
        <v>1</v>
      </c>
    </row>
    <row r="28" spans="1:9" ht="17.100000000000001" customHeight="1" x14ac:dyDescent="0.25">
      <c r="A28" s="2" t="s">
        <v>106</v>
      </c>
      <c r="B28" s="22">
        <f>SUMIFS(HicRawData[Beds HH w/o Children],
HicRawData[Project Type],$I$2,
HicRawData[Inventory Type],$I28)</f>
        <v>0</v>
      </c>
      <c r="C28" s="22">
        <f>SUMIFS(HicRawData[Beds HH w/ Children],
HicRawData[Project Type],$I$2,
HicRawData[Inventory Type],$I28)</f>
        <v>0</v>
      </c>
      <c r="D28" s="22">
        <f>SUMIFS(HicRawData[Beds HH w/ only Children],
HicRawData[Project Type],$I$2,
HicRawData[Inventory Type],$I28)</f>
        <v>0</v>
      </c>
      <c r="E28" s="22">
        <f>SUM(PSH_InventoryType[[#This Row],[Households without Children]:[Households with only Children]])</f>
        <v>0</v>
      </c>
      <c r="I28" s="31" t="s">
        <v>6</v>
      </c>
    </row>
    <row r="29" spans="1:9" ht="15" customHeight="1" x14ac:dyDescent="0.25">
      <c r="A29" s="2" t="s">
        <v>100</v>
      </c>
      <c r="B29" s="23">
        <f>SUBTOTAL(109,PSH_InventoryType[Households without Children])</f>
        <v>115</v>
      </c>
      <c r="C29" s="23">
        <f>SUBTOTAL(109,PSH_InventoryType[Households with Children])</f>
        <v>101</v>
      </c>
      <c r="D29" s="23">
        <f>SUBTOTAL(109,PSH_InventoryType[Households with only Children])</f>
        <v>0</v>
      </c>
      <c r="E29" s="23">
        <f>SUBTOTAL(109,PSH_InventoryType[Total Year-Round Beds])</f>
        <v>216</v>
      </c>
    </row>
    <row r="30" spans="1:9" ht="15" customHeight="1" x14ac:dyDescent="0.25">
      <c r="B30" s="23"/>
      <c r="C30" s="23"/>
      <c r="D30" s="23"/>
      <c r="E30" s="23"/>
    </row>
    <row r="31" spans="1:9" ht="72" customHeight="1" x14ac:dyDescent="0.25">
      <c r="A31"/>
      <c r="B31"/>
      <c r="C31"/>
      <c r="D31" s="26"/>
      <c r="E31" s="23"/>
      <c r="I31" s="31" t="s">
        <v>84</v>
      </c>
    </row>
    <row r="32" spans="1:9" ht="15" customHeight="1" x14ac:dyDescent="0.25">
      <c r="A32"/>
      <c r="B32"/>
      <c r="C32"/>
      <c r="D32" s="25"/>
      <c r="E32" s="23"/>
      <c r="I32" s="31" t="s">
        <v>9</v>
      </c>
    </row>
    <row r="33" spans="1:12" ht="15" customHeight="1" x14ac:dyDescent="0.25">
      <c r="A33"/>
      <c r="B33"/>
      <c r="C33"/>
      <c r="D33" s="25"/>
      <c r="E33" s="23"/>
      <c r="F33" s="23"/>
      <c r="I33" s="31" t="s">
        <v>12</v>
      </c>
      <c r="J33" s="3"/>
    </row>
    <row r="34" spans="1:12" ht="15" customHeight="1" x14ac:dyDescent="0.25">
      <c r="A34"/>
      <c r="B34"/>
      <c r="C34"/>
      <c r="D34" s="25"/>
      <c r="E34" s="23"/>
      <c r="F34" s="23"/>
      <c r="I34" s="31" t="s">
        <v>115</v>
      </c>
      <c r="J34" s="3"/>
    </row>
    <row r="35" spans="1:12" ht="15" customHeight="1" x14ac:dyDescent="0.25">
      <c r="A35"/>
      <c r="B35"/>
      <c r="C35"/>
      <c r="D35" s="23"/>
      <c r="E35" s="23"/>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SUMIFS(HicRawData[Beds HH w/o Children],
HicRawData[Project Type],$I$2,
HicRawData[Inventory Type],"C",
HicRawData[Project Type], PSH_ProjectType[[#This Row],[All Beds by Project Type]])</f>
        <v>0</v>
      </c>
      <c r="C38" s="22">
        <f>SUMIFS(HicRawData[Beds HH w/ Children],
HicRawData[Project Type],$I$2,
HicRawData[Inventory Type],"C",
HicRawData[Project Type], PSH_ProjectType[[#This Row],[All Beds by Project Type]])</f>
        <v>0</v>
      </c>
      <c r="D38" s="22">
        <f>SUMIFS(HicRawData[Beds HH w/ only Children],
HicRawData[Project Type],$I$2,
HicRawData[Inventory Type],"C",
HicRawData[Project Type], PSH_ProjectType[[#This Row],[All Beds by Project Type]])</f>
        <v>0</v>
      </c>
      <c r="E38" s="22">
        <f>SUM(PSH_ProjectType[[#This Row],[Households without Children]:[Households with only Children]])</f>
        <v>0</v>
      </c>
    </row>
    <row r="39" spans="1:12" ht="17.100000000000001" customHeight="1" x14ac:dyDescent="0.25">
      <c r="A39" s="2" t="s">
        <v>2</v>
      </c>
      <c r="B39" s="22">
        <f>SUMIFS(HicRawData[Beds HH w/o Children],
HicRawData[Project Type],$I$2,
HicRawData[Inventory Type],"C",
HicRawData[Project Type], PSH_ProjectType[[#This Row],[All Beds by Project Type]])</f>
        <v>0</v>
      </c>
      <c r="C39" s="22">
        <f>SUMIFS(HicRawData[Beds HH w/ Children],
HicRawData[Project Type],$I$2,
HicRawData[Inventory Type],"C",
HicRawData[Project Type], PSH_ProjectType[[#This Row],[All Beds by Project Type]])</f>
        <v>0</v>
      </c>
      <c r="D39" s="22">
        <f>SUMIFS(HicRawData[Beds HH w/ only Children],
HicRawData[Project Type],$I$2,
HicRawData[Inventory Type],"C",
HicRawData[Project Type], PSH_ProjectType[[#This Row],[All Beds by Project Type]])</f>
        <v>0</v>
      </c>
      <c r="E39" s="22">
        <f>SUM(PSH_ProjectType[[#This Row],[Households without Children]:[Households with only Children]])</f>
        <v>0</v>
      </c>
      <c r="H39" s="6"/>
    </row>
    <row r="40" spans="1:12" ht="17.100000000000001" customHeight="1" x14ac:dyDescent="0.25">
      <c r="A40" s="2" t="s">
        <v>11</v>
      </c>
      <c r="B40" s="22">
        <f>SUMIFS(HicRawData[Beds HH w/o Children],
HicRawData[Project Type],$I$2,
HicRawData[Inventory Type],"C",
HicRawData[Project Type], PSH_ProjectType[[#This Row],[All Beds by Project Type]])</f>
        <v>0</v>
      </c>
      <c r="C40" s="22">
        <f>SUMIFS(HicRawData[Beds HH w/ Children],
HicRawData[Project Type],$I$2,
HicRawData[Inventory Type],"C",
HicRawData[Project Type], PSH_ProjectType[[#This Row],[All Beds by Project Type]])</f>
        <v>0</v>
      </c>
      <c r="D40" s="22">
        <f>SUMIFS(HicRawData[Beds HH w/ only Children],
HicRawData[Project Type],$I$2,
HicRawData[Inventory Type],"C",
HicRawData[Project Type], PSH_ProjectType[[#This Row],[All Beds by Project Type]])</f>
        <v>0</v>
      </c>
      <c r="E40" s="22">
        <f>SUM(PSH_ProjectType[[#This Row],[Households without Children]:[Households with only Children]])</f>
        <v>0</v>
      </c>
      <c r="H40" s="6"/>
    </row>
    <row r="41" spans="1:12" ht="17.100000000000001" customHeight="1" x14ac:dyDescent="0.25">
      <c r="A41" s="2" t="s">
        <v>4</v>
      </c>
      <c r="B41" s="22">
        <f>SUMIFS(HicRawData[Beds HH w/o Children],
HicRawData[Project Type],$I$2,
HicRawData[Inventory Type],"C",
HicRawData[Project Type], PSH_ProjectType[[#This Row],[All Beds by Project Type]])</f>
        <v>0</v>
      </c>
      <c r="C41" s="22">
        <f>SUMIFS(HicRawData[Beds HH w/ Children],
HicRawData[Project Type],$I$2,
HicRawData[Inventory Type],"C",
HicRawData[Project Type], PSH_ProjectType[[#This Row],[All Beds by Project Type]])</f>
        <v>0</v>
      </c>
      <c r="D41" s="22">
        <f>SUMIFS(HicRawData[Beds HH w/ only Children],
HicRawData[Project Type],$I$2,
HicRawData[Inventory Type],"C",
HicRawData[Project Type], PSH_ProjectType[[#This Row],[All Beds by Project Type]])</f>
        <v>0</v>
      </c>
      <c r="E41" s="22">
        <f>SUM(PSH_ProjectType[[#This Row],[Households without Children]:[Households with only Children]])</f>
        <v>0</v>
      </c>
    </row>
    <row r="42" spans="1:12" ht="17.100000000000001" customHeight="1" x14ac:dyDescent="0.25">
      <c r="A42" s="2" t="s">
        <v>5</v>
      </c>
      <c r="B42" s="22">
        <f>SUMIFS(HicRawData[Beds HH w/o Children],
HicRawData[Project Type],$I$2,
HicRawData[Inventory Type],"C",
HicRawData[Project Type], PSH_ProjectType[[#This Row],[All Beds by Project Type]])</f>
        <v>115</v>
      </c>
      <c r="C42" s="22">
        <f>SUMIFS(HicRawData[Beds HH w/ Children],
HicRawData[Project Type],$I$2,
HicRawData[Inventory Type],"C",
HicRawData[Project Type], PSH_ProjectType[[#This Row],[All Beds by Project Type]])</f>
        <v>101</v>
      </c>
      <c r="D42" s="22">
        <f>SUMIFS(HicRawData[Beds HH w/ only Children],
HicRawData[Project Type],$I$2,
HicRawData[Inventory Type],"C",
HicRawData[Project Type], PSH_ProjectType[[#This Row],[All Beds by Project Type]])</f>
        <v>0</v>
      </c>
      <c r="E42" s="22">
        <f>SUM(PSH_ProjectType[[#This Row],[Households without Children]:[Households with only Children]])</f>
        <v>216</v>
      </c>
    </row>
    <row r="43" spans="1:12" ht="17.100000000000001" customHeight="1" x14ac:dyDescent="0.25">
      <c r="A43" s="2" t="s">
        <v>7</v>
      </c>
      <c r="B43" s="22">
        <f>SUMIFS(HicRawData[Beds HH w/o Children],
HicRawData[Project Type],$I$2,
HicRawData[Inventory Type],"C",
HicRawData[Project Type], PSH_ProjectType[[#This Row],[All Beds by Project Type]])</f>
        <v>0</v>
      </c>
      <c r="C43" s="22">
        <f>SUMIFS(HicRawData[Beds HH w/ Children],
HicRawData[Project Type],$I$2,
HicRawData[Inventory Type],"C",
HicRawData[Project Type], PSH_ProjectType[[#This Row],[All Beds by Project Type]])</f>
        <v>0</v>
      </c>
      <c r="D43" s="22">
        <f>SUMIFS(HicRawData[Beds HH w/ only Children],
HicRawData[Project Type],$I$2,
HicRawData[Inventory Type],"C",
HicRawData[Project Type], PSH_ProjectType[[#This Row],[All Beds by Project Type]])</f>
        <v>0</v>
      </c>
      <c r="E43" s="22">
        <f>SUM(PSH_ProjectType[[#This Row],[Households without Children]:[Households with only Children]])</f>
        <v>0</v>
      </c>
    </row>
    <row r="44" spans="1:12" ht="15" customHeight="1" x14ac:dyDescent="0.25">
      <c r="A44" s="2" t="s">
        <v>100</v>
      </c>
      <c r="B44" s="23">
        <f>SUBTOTAL(109,PSH_ProjectType[Households without Children])</f>
        <v>115</v>
      </c>
      <c r="C44" s="23">
        <f>SUBTOTAL(109,PSH_ProjectType[Households with Children])</f>
        <v>101</v>
      </c>
      <c r="D44" s="23">
        <f>SUBTOTAL(109,PSH_ProjectType[Households with only Children])</f>
        <v>0</v>
      </c>
      <c r="E44" s="23">
        <f>SUBTOTAL(109,PSH_ProjectType[Total Year-Round Beds])</f>
        <v>216</v>
      </c>
    </row>
    <row r="45" spans="1:12" ht="15" customHeight="1" x14ac:dyDescent="0.25">
      <c r="B45" s="23"/>
      <c r="C45" s="23"/>
      <c r="D45" s="23"/>
      <c r="E45" s="23"/>
    </row>
    <row r="46" spans="1:12" ht="72" customHeight="1" x14ac:dyDescent="0.25">
      <c r="A46" s="16" t="s">
        <v>125</v>
      </c>
      <c r="B46" s="16" t="s">
        <v>96</v>
      </c>
      <c r="C46" s="16" t="s">
        <v>97</v>
      </c>
      <c r="D46" s="16" t="s">
        <v>98</v>
      </c>
      <c r="E46" s="16" t="s">
        <v>99</v>
      </c>
      <c r="J46" s="12"/>
      <c r="K46" s="12"/>
      <c r="L46" s="12"/>
    </row>
    <row r="47" spans="1:12" ht="17.100000000000001" customHeight="1" x14ac:dyDescent="0.25">
      <c r="A47" s="2" t="s">
        <v>3</v>
      </c>
      <c r="B47" s="22">
        <f>SUMIFS(HicRawData[Beds HH w/o Children],
HicRawData[Project Type],$I$2,
HicRawData[Inventory Type],"C",
HicRawData[Project Type], PSH_ProjectTypeHmisParticipation[[#This Row],[HMIS Beds by Project Type]],
HicRawData[HMIS Participating], "Yes")</f>
        <v>0</v>
      </c>
      <c r="C47" s="22">
        <f>SUMIFS(HicRawData[Beds HH w/ Children],
HicRawData[Project Type],$I$2,
HicRawData[Inventory Type],"C",
HicRawData[Project Type], PSH_ProjectTypeHmisParticipation[[#This Row],[HMIS Beds by Project Type]],
HicRawData[HMIS Participating], "Yes")</f>
        <v>0</v>
      </c>
      <c r="D47" s="22">
        <f>SUMIFS(HicRawData[Beds HH w/ only Children],
HicRawData[Project Type],$I$2,
HicRawData[Inventory Type],"C",
HicRawData[Project Type], PSH_ProjectTypeHmisParticipation[[#This Row],[HMIS Beds by Project Type]],
HicRawData[HMIS Participating], "Yes")</f>
        <v>0</v>
      </c>
      <c r="E47" s="21">
        <f>B47+C47+D47</f>
        <v>0</v>
      </c>
    </row>
    <row r="48" spans="1:12" ht="17.100000000000001" customHeight="1" x14ac:dyDescent="0.25">
      <c r="A48" s="2" t="s">
        <v>2</v>
      </c>
      <c r="B48" s="21">
        <f>SUMIFS(HicRawData[Beds HH w/o Children],
HicRawData[Project Type],$I$2,
HicRawData[Inventory Type],"C",
HicRawData[Project Type], PSH_ProjectTypeHmisParticipation[[#This Row],[HMIS Beds by Project Type]],
HicRawData[HMIS Participating], "Yes")</f>
        <v>0</v>
      </c>
      <c r="C48" s="21">
        <f>SUMIFS(HicRawData[Beds HH w/ Children],
HicRawData[Project Type],$I$2,
HicRawData[Inventory Type],"C",
HicRawData[Project Type], PSH_ProjectTypeHmisParticipation[[#This Row],[HMIS Beds by Project Type]],
HicRawData[HMIS Participating], "Yes")</f>
        <v>0</v>
      </c>
      <c r="D48" s="21">
        <f>SUMIFS(HicRawData[Beds HH w/ only Children],
HicRawData[Project Type],$I$2,
HicRawData[Inventory Type],"C",
HicRawData[Project Type], PSH_ProjectTypeHmisParticipation[[#This Row],[HMIS Beds by Project Type]],
HicRawData[HMIS Participating], "Yes")</f>
        <v>0</v>
      </c>
      <c r="E48" s="21">
        <f t="shared" ref="E48:E52" si="0">B48+C48+D48</f>
        <v>0</v>
      </c>
    </row>
    <row r="49" spans="1:5" ht="17.100000000000001" customHeight="1" x14ac:dyDescent="0.25">
      <c r="A49" s="2" t="s">
        <v>11</v>
      </c>
      <c r="B49" s="21">
        <f>SUMIFS(HicRawData[Beds HH w/o Children],
HicRawData[Project Type],$I$2,
HicRawData[Inventory Type],"C",
HicRawData[Project Type], PSH_ProjectTypeHmisParticipation[[#This Row],[HMIS Beds by Project Type]],
HicRawData[HMIS Participating], "Yes")</f>
        <v>0</v>
      </c>
      <c r="C49" s="21">
        <f>SUMIFS(HicRawData[Beds HH w/ Children],
HicRawData[Project Type],$I$2,
HicRawData[Inventory Type],"C",
HicRawData[Project Type], PSH_ProjectTypeHmisParticipation[[#This Row],[HMIS Beds by Project Type]],
HicRawData[HMIS Participating], "Yes")</f>
        <v>0</v>
      </c>
      <c r="D49" s="21">
        <f>SUMIFS(HicRawData[Beds HH w/ only Children],
HicRawData[Project Type],$I$2,
HicRawData[Inventory Type],"C",
HicRawData[Project Type], PSH_ProjectTypeHmisParticipation[[#This Row],[HMIS Beds by Project Type]],
HicRawData[HMIS Participating], "Yes")</f>
        <v>0</v>
      </c>
      <c r="E49" s="21">
        <f t="shared" si="0"/>
        <v>0</v>
      </c>
    </row>
    <row r="50" spans="1:5" ht="17.100000000000001" customHeight="1" x14ac:dyDescent="0.25">
      <c r="A50" s="2" t="s">
        <v>4</v>
      </c>
      <c r="B50" s="21">
        <f>SUMIFS(HicRawData[Beds HH w/o Children],
HicRawData[Project Type],$I$2,
HicRawData[Inventory Type],"C",
HicRawData[Project Type], PSH_ProjectTypeHmisParticipation[[#This Row],[HMIS Beds by Project Type]],
HicRawData[HMIS Participating], "Yes")</f>
        <v>0</v>
      </c>
      <c r="C50" s="21">
        <f>SUMIFS(HicRawData[Beds HH w/ Children],
HicRawData[Project Type],$I$2,
HicRawData[Inventory Type],"C",
HicRawData[Project Type], PSH_ProjectTypeHmisParticipation[[#This Row],[HMIS Beds by Project Type]],
HicRawData[HMIS Participating], "Yes")</f>
        <v>0</v>
      </c>
      <c r="D50" s="21">
        <f>SUMIFS(HicRawData[Beds HH w/ only Children],
HicRawData[Project Type],$I$2,
HicRawData[Inventory Type],"C",
HicRawData[Project Type], PSH_ProjectTypeHmisParticipation[[#This Row],[HMIS Beds by Project Type]],
HicRawData[HMIS Participating], "Yes")</f>
        <v>0</v>
      </c>
      <c r="E50" s="21">
        <f t="shared" si="0"/>
        <v>0</v>
      </c>
    </row>
    <row r="51" spans="1:5" ht="17.100000000000001" customHeight="1" x14ac:dyDescent="0.25">
      <c r="A51" s="2" t="s">
        <v>5</v>
      </c>
      <c r="B51" s="21">
        <f>SUMIFS(HicRawData[Beds HH w/o Children],
HicRawData[Project Type],$I$2,
HicRawData[Inventory Type],"C",
HicRawData[Project Type], PSH_ProjectTypeHmisParticipation[[#This Row],[HMIS Beds by Project Type]],
HicRawData[HMIS Participating], "Yes")</f>
        <v>40</v>
      </c>
      <c r="C51" s="21">
        <f>SUMIFS(HicRawData[Beds HH w/ Children],
HicRawData[Project Type],$I$2,
HicRawData[Inventory Type],"C",
HicRawData[Project Type], PSH_ProjectTypeHmisParticipation[[#This Row],[HMIS Beds by Project Type]],
HicRawData[HMIS Participating], "Yes")</f>
        <v>26</v>
      </c>
      <c r="D51" s="21">
        <f>SUMIFS(HicRawData[Beds HH w/ only Children],
HicRawData[Project Type],$I$2,
HicRawData[Inventory Type],"C",
HicRawData[Project Type], PSH_ProjectTypeHmisParticipation[[#This Row],[HMIS Beds by Project Type]],
HicRawData[HMIS Participating], "Yes")</f>
        <v>0</v>
      </c>
      <c r="E51" s="21">
        <f t="shared" si="0"/>
        <v>66</v>
      </c>
    </row>
    <row r="52" spans="1:5" ht="17.100000000000001" customHeight="1" x14ac:dyDescent="0.25">
      <c r="A52" s="2" t="s">
        <v>7</v>
      </c>
      <c r="B52" s="21">
        <f>SUMIFS(HicRawData[Beds HH w/o Children],
HicRawData[Project Type],$I$2,
HicRawData[Inventory Type],"C",
HicRawData[Project Type], PSH_ProjectTypeHmisParticipation[[#This Row],[HMIS Beds by Project Type]],
HicRawData[HMIS Participating], "Yes")</f>
        <v>0</v>
      </c>
      <c r="C52" s="21">
        <f>SUMIFS(HicRawData[Beds HH w/ Children],
HicRawData[Project Type],$I$2,
HicRawData[Inventory Type],"C",
HicRawData[Project Type], PSH_ProjectTypeHmisParticipation[[#This Row],[HMIS Beds by Project Type]],
HicRawData[HMIS Participating], "Yes")</f>
        <v>0</v>
      </c>
      <c r="D52" s="21">
        <f>SUMIFS(HicRawData[Beds HH w/ only Children],
HicRawData[Project Type],$I$2,
HicRawData[Inventory Type],"C",
HicRawData[Project Type], PSH_ProjectTypeHmisParticipation[[#This Row],[HMIS Beds by Project Type]],
HicRawData[HMIS Participating], "Yes")</f>
        <v>0</v>
      </c>
      <c r="E52" s="21">
        <f t="shared" si="0"/>
        <v>0</v>
      </c>
    </row>
    <row r="53" spans="1:5" x14ac:dyDescent="0.25">
      <c r="A53" s="2" t="s">
        <v>100</v>
      </c>
      <c r="B53" s="24">
        <f>SUBTOTAL(109,PSH_ProjectTypeHmisParticipation[Households without Children])</f>
        <v>40</v>
      </c>
      <c r="C53" s="24">
        <f>SUBTOTAL(109,PSH_ProjectTypeHmisParticipation[Households with Children])</f>
        <v>26</v>
      </c>
      <c r="D53" s="24">
        <f>SUBTOTAL(109,PSH_ProjectTypeHmisParticipation[Households with only Children])</f>
        <v>0</v>
      </c>
      <c r="E53" s="21">
        <f>SUBTOTAL(109,PSH_ProjectTypeHmisParticipation[Total Year-Round Beds])</f>
        <v>66</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10"/>
      <c r="B60" s="11"/>
    </row>
    <row r="61" spans="1:5" x14ac:dyDescent="0.25">
      <c r="A61" s="10"/>
      <c r="B61" s="11"/>
    </row>
    <row r="62" spans="1:5" x14ac:dyDescent="0.25">
      <c r="A62" s="10"/>
      <c r="B62" s="11"/>
    </row>
    <row r="63" spans="1:5" x14ac:dyDescent="0.25">
      <c r="A63" s="10"/>
      <c r="B63" s="1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Q0Ofs/dmwIdx8X7COYqKinuGp/GusiZpek7NlLFgQNnckNkS0o1K2h3eX5l2PM8ieCjwwysvRcJjrCh6zNkxvw==" saltValue="78vtXWHQJQXeeZCfXlCtEA==" spinCount="100000" sheet="1" objects="1" scenarios="1"/>
  <conditionalFormatting sqref="A4:G4">
    <cfRule type="expression" dxfId="111"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84743-77FA-4D3B-9B8B-604031C9EC6C}">
  <sheetPr codeName="Sheet10"/>
  <dimension ref="A1:L97"/>
  <sheetViews>
    <sheetView zoomScaleNormal="100" workbookViewId="0"/>
  </sheetViews>
  <sheetFormatPr defaultColWidth="0" defaultRowHeight="15" zeroHeight="1" x14ac:dyDescent="0.25"/>
  <cols>
    <col min="1" max="1" width="31.7109375" style="2" customWidth="1"/>
    <col min="2" max="7" width="16.7109375" style="2" customWidth="1"/>
    <col min="8" max="8" width="9.140625" style="2" hidden="1" customWidth="1"/>
    <col min="9" max="9" width="9.140625" style="31" hidden="1" customWidth="1"/>
    <col min="10" max="10" width="9.140625" style="2" hidden="1" customWidth="1"/>
    <col min="11" max="12" width="0" style="2" hidden="1" customWidth="1"/>
    <col min="13" max="16384" width="9.140625" style="2" hidden="1"/>
  </cols>
  <sheetData>
    <row r="1" spans="1:9" ht="21" customHeight="1" x14ac:dyDescent="0.25">
      <c r="A1" s="27" t="s">
        <v>112</v>
      </c>
      <c r="B1" s="28"/>
      <c r="C1" s="28"/>
      <c r="D1" s="28"/>
      <c r="E1" s="28"/>
      <c r="F1" s="28"/>
      <c r="G1" s="28"/>
      <c r="I1" s="31" t="s">
        <v>86</v>
      </c>
    </row>
    <row r="2" spans="1:9" ht="18" customHeight="1" x14ac:dyDescent="0.25">
      <c r="A2" s="29" t="str">
        <f>CONCATENATE(IF(I2="*","All",I2)," Beds Summary")</f>
        <v>OPH Beds Summary</v>
      </c>
      <c r="B2" s="28"/>
      <c r="C2" s="28"/>
      <c r="D2" s="28"/>
      <c r="E2" s="28"/>
      <c r="F2" s="28"/>
      <c r="G2" s="28"/>
      <c r="I2" s="31" t="s">
        <v>7</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G5" s="14"/>
      <c r="H5" s="14"/>
    </row>
    <row r="6" spans="1:9" ht="72" customHeight="1" x14ac:dyDescent="0.25">
      <c r="A6" s="16" t="s">
        <v>102</v>
      </c>
      <c r="B6" s="16" t="s">
        <v>96</v>
      </c>
      <c r="C6" s="16" t="s">
        <v>97</v>
      </c>
      <c r="D6" s="16" t="s">
        <v>98</v>
      </c>
      <c r="E6" s="16" t="s">
        <v>99</v>
      </c>
      <c r="I6" s="31" t="s">
        <v>84</v>
      </c>
    </row>
    <row r="7" spans="1:9" ht="17.100000000000001" customHeight="1" x14ac:dyDescent="0.25">
      <c r="A7" s="10" t="s">
        <v>107</v>
      </c>
      <c r="B7" s="18">
        <f>SUMIFS(HicRawData[Beds HH w/o Children],
HicRawData[Project Type],$I$2,
HicRawData[Inventory Type],"C",
HicRawData[HMIS Participating],$I7)</f>
        <v>9</v>
      </c>
      <c r="C7" s="18">
        <f>SUMIFS(HicRawData[Beds HH w/ Children],
HicRawData[Project Type],$I$2,
HicRawData[Inventory Type],"C",
HicRawData[HMIS Participating],$I7)</f>
        <v>0</v>
      </c>
      <c r="D7" s="18">
        <f>SUMIFS(HicRawData[Beds HH w/ only Children],
HicRawData[Project Type],$I$2,
HicRawData[Inventory Type],"C",
HicRawData[HMIS Participating],$I7)</f>
        <v>0</v>
      </c>
      <c r="E7" s="18">
        <f>SUM(OPH_HmisParticipation[[#This Row],[Households without Children]:[Households with only Children]])</f>
        <v>9</v>
      </c>
      <c r="I7" s="31" t="s">
        <v>9</v>
      </c>
    </row>
    <row r="8" spans="1:9" ht="17.100000000000001" customHeight="1" x14ac:dyDescent="0.25">
      <c r="A8" s="10" t="s">
        <v>108</v>
      </c>
      <c r="B8" s="18">
        <f>SUMIFS(HicRawData[Beds HH w/o Children],
HicRawData[Project Type],$I$2,
HicRawData[Inventory Type],"C",
HicRawData[HMIS Participating],$I8)</f>
        <v>0</v>
      </c>
      <c r="C8" s="18">
        <f>SUMIFS(HicRawData[Beds HH w/ Children],
HicRawData[Project Type],$I$2,
HicRawData[Inventory Type],"C",
HicRawData[HMIS Participating],$I8)</f>
        <v>0</v>
      </c>
      <c r="D8" s="18">
        <f>SUMIFS(HicRawData[Beds HH w/ only Children],
HicRawData[Project Type],$I$2,
HicRawData[Inventory Type],"C",
HicRawData[HMIS Participating],$I8)</f>
        <v>0</v>
      </c>
      <c r="E8" s="18">
        <f>SUM(OPH_HmisParticipation[[#This Row],[Households without Children]:[Households with only Children]])</f>
        <v>0</v>
      </c>
      <c r="I8" s="31" t="s">
        <v>12</v>
      </c>
    </row>
    <row r="9" spans="1:9" ht="17.100000000000001" customHeight="1" x14ac:dyDescent="0.25">
      <c r="A9" s="10" t="s">
        <v>130</v>
      </c>
      <c r="B9" s="18">
        <f>SUMIFS(HicRawData[Beds HH w/o Children],
HicRawData[Project Type],$I$2,
HicRawData[Inventory Type],"C",
HicRawData[HMIS Participating],$I9)</f>
        <v>0</v>
      </c>
      <c r="C9" s="18">
        <f>SUMIFS(HicRawData[Beds HH w/ Children],
HicRawData[Project Type],$I$2,
HicRawData[Inventory Type],"C",
HicRawData[HMIS Participating],$I9)</f>
        <v>0</v>
      </c>
      <c r="D9" s="18">
        <f>SUMIFS(HicRawData[Beds HH w/ only Children],
HicRawData[Project Type],$I$2,
HicRawData[Inventory Type],"C",
HicRawData[HMIS Participating],$I9)</f>
        <v>0</v>
      </c>
      <c r="E9" s="18">
        <f>SUM(OPH_HmisParticipation[[#This Row],[Households without Children]:[Households with only Children]])</f>
        <v>0</v>
      </c>
      <c r="I9" s="31" t="s">
        <v>115</v>
      </c>
    </row>
    <row r="10" spans="1:9" ht="17.100000000000001" customHeight="1" x14ac:dyDescent="0.25">
      <c r="A10" s="2" t="s">
        <v>100</v>
      </c>
      <c r="B10" s="18">
        <f>SUBTOTAL(109,OPH_HmisParticipation[Households without Children])</f>
        <v>9</v>
      </c>
      <c r="C10" s="18">
        <f>SUBTOTAL(109,OPH_HmisParticipation[Households with Children])</f>
        <v>0</v>
      </c>
      <c r="D10" s="18">
        <f>SUBTOTAL(109,OPH_HmisParticipation[Households with only Children])</f>
        <v>0</v>
      </c>
      <c r="E10" s="18">
        <f>SUBTOTAL(109,OPH_HmisParticipation[Total Year-Round Beds])</f>
        <v>9</v>
      </c>
    </row>
    <row r="11" spans="1:9" ht="15" customHeight="1" x14ac:dyDescent="0.25">
      <c r="A11" s="4" t="s">
        <v>101</v>
      </c>
      <c r="B11" s="19">
        <f>IF(B7=0,"N/A",B7/OPH_HmisParticipation[[#Totals],[Households without Children]])</f>
        <v>1</v>
      </c>
      <c r="C11" s="19" t="str">
        <f>IF(C7=0,"N/A",C7/OPH_HmisParticipation[[#Totals],[Households with Children]])</f>
        <v>N/A</v>
      </c>
      <c r="D11" s="19" t="str">
        <f>IF(D7=0,"N/A",D7/OPH_HmisParticipation[[#Totals],[Households with only Children]])</f>
        <v>N/A</v>
      </c>
      <c r="E11" s="19">
        <f>IF(E7=0,"N/A",E7/OPH_HmisParticipation[[#Totals],[Total Year-Round Beds]])</f>
        <v>1</v>
      </c>
      <c r="G11" s="30"/>
    </row>
    <row r="12" spans="1:9" ht="15" customHeight="1" x14ac:dyDescent="0.25">
      <c r="A12" s="4"/>
      <c r="B12" s="5"/>
      <c r="C12" s="5"/>
      <c r="D12" s="5"/>
      <c r="E12" s="5"/>
      <c r="G12" s="30"/>
    </row>
    <row r="13" spans="1:9" ht="72" customHeight="1" x14ac:dyDescent="0.25">
      <c r="A13" s="15" t="s">
        <v>127</v>
      </c>
      <c r="B13" s="15" t="s">
        <v>96</v>
      </c>
      <c r="C13" s="15" t="s">
        <v>97</v>
      </c>
      <c r="D13" s="15" t="s">
        <v>98</v>
      </c>
      <c r="E13" s="15" t="s">
        <v>99</v>
      </c>
      <c r="I13" s="31" t="s">
        <v>84</v>
      </c>
    </row>
    <row r="14" spans="1:9" ht="17.100000000000001" customHeight="1" x14ac:dyDescent="0.25">
      <c r="A14" s="10" t="s">
        <v>113</v>
      </c>
      <c r="B14" s="18">
        <f>SUMIFS(HicRawData[Beds HH w/o Children],
HicRawData[Project Type],$I$2,
HicRawData[Inventory Type],"C",
HicRawData[HMIS Participating],$I14,
HicRawData[Victim Service Provider],0)</f>
        <v>9</v>
      </c>
      <c r="C14" s="18">
        <f>SUMIFS(HicRawData[Beds HH w/ Children],
HicRawData[Project Type],$I$2,
HicRawData[Inventory Type],"C",
HicRawData[HMIS Participating],$I14,
HicRawData[Victim Service Provider],0)</f>
        <v>0</v>
      </c>
      <c r="D14" s="18">
        <f>SUMIFS(HicRawData[Beds HH w/ only Children],
HicRawData[Project Type],$I$2,
HicRawData[Inventory Type],"C",
HicRawData[HMIS Participating],$I14,
HicRawData[Victim Service Provider],0)</f>
        <v>0</v>
      </c>
      <c r="E14" s="18">
        <f>SUM(OPH_NonVspHmisParticipation[[#This Row],[Households without Children]:[Households with only Children]])</f>
        <v>9</v>
      </c>
      <c r="I14" s="31" t="s">
        <v>9</v>
      </c>
    </row>
    <row r="15" spans="1:9" ht="17.100000000000001" customHeight="1" x14ac:dyDescent="0.25">
      <c r="A15" s="10" t="s">
        <v>114</v>
      </c>
      <c r="B15" s="18">
        <f>SUMIFS(HicRawData[Beds HH w/o Children],
HicRawData[Project Type],$I$2,
HicRawData[Inventory Type],"C",
HicRawData[HMIS Participating],$I15,
HicRawData[Victim Service Provider],0)</f>
        <v>0</v>
      </c>
      <c r="C15" s="18">
        <f>SUMIFS(HicRawData[Beds HH w/ Children],
HicRawData[Project Type],$I$2,
HicRawData[Inventory Type],"C",
HicRawData[HMIS Participating],$I15,
HicRawData[Victim Service Provider],0)</f>
        <v>0</v>
      </c>
      <c r="D15" s="18">
        <f>SUMIFS(HicRawData[Beds HH w/ only Children],
HicRawData[Project Type],$I$2,
HicRawData[Inventory Type],"C",
HicRawData[HMIS Participating],$I15,
HicRawData[Victim Service Provider],0)</f>
        <v>0</v>
      </c>
      <c r="E15" s="18">
        <f>SUM(OPH_NonVspHmisParticipation[[#This Row],[Households without Children]:[Households with only Children]])</f>
        <v>0</v>
      </c>
      <c r="I15" s="31" t="s">
        <v>12</v>
      </c>
    </row>
    <row r="16" spans="1:9" ht="17.100000000000001" customHeight="1" x14ac:dyDescent="0.25">
      <c r="A16" s="10" t="s">
        <v>129</v>
      </c>
      <c r="B16" s="18">
        <f>SUMIFS(HicRawData[Beds HH w/o Children],
HicRawData[Project Type],$I$2,
HicRawData[Inventory Type],"C",
HicRawData[HMIS Participating],$I16,
HicRawData[Victim Service Provider],0)</f>
        <v>0</v>
      </c>
      <c r="C16" s="18">
        <f>SUMIFS(HicRawData[Beds HH w/ Children],
HicRawData[Project Type],$I$2,
HicRawData[Inventory Type],"C",
HicRawData[HMIS Participating],$I16,
HicRawData[Victim Service Provider],0)</f>
        <v>0</v>
      </c>
      <c r="D16" s="18">
        <f>SUMIFS(HicRawData[Beds HH w/ only Children],
HicRawData[Project Type],$I$2,
HicRawData[Inventory Type],"C",
HicRawData[HMIS Participating],$I16,
HicRawData[Victim Service Provider],0)</f>
        <v>0</v>
      </c>
      <c r="E16" s="18">
        <f>SUM(OPH_NonVspHmisParticipation[[#This Row],[Households without Children]:[Households with only Children]])</f>
        <v>0</v>
      </c>
      <c r="I16" s="31" t="s">
        <v>115</v>
      </c>
    </row>
    <row r="17" spans="1:9" ht="17.100000000000001" customHeight="1" x14ac:dyDescent="0.25">
      <c r="A17" s="10" t="s">
        <v>100</v>
      </c>
      <c r="B17" s="20">
        <f>SUBTOTAL(109,OPH_NonVspHmisParticipation[Households without Children])</f>
        <v>9</v>
      </c>
      <c r="C17" s="20">
        <f>SUBTOTAL(109,OPH_NonVspHmisParticipation[Households with Children])</f>
        <v>0</v>
      </c>
      <c r="D17" s="20">
        <f>SUBTOTAL(109,OPH_NonVspHmisParticipation[Households with only Children])</f>
        <v>0</v>
      </c>
      <c r="E17" s="20">
        <f>SUBTOTAL(109,OPH_NonVspHmisParticipation[Total Year-Round Beds])</f>
        <v>9</v>
      </c>
    </row>
    <row r="18" spans="1:9" ht="15" customHeight="1" x14ac:dyDescent="0.25">
      <c r="A18" s="4" t="s">
        <v>128</v>
      </c>
      <c r="B18" s="19">
        <f>IF(B14=0,"N/A",B14/OPH_NonVspHmisParticipation[[#Totals],[Households without Children]])</f>
        <v>1</v>
      </c>
      <c r="C18" s="19" t="str">
        <f>IF(C14=0,"N/A",C14/OPH_NonVspHmisParticipation[[#Totals],[Households with Children]])</f>
        <v>N/A</v>
      </c>
      <c r="D18" s="19" t="str">
        <f>IF(D14=0,"N/A",D14/OPH_NonVspHmisParticipation[[#Totals],[Households with only Children]])</f>
        <v>N/A</v>
      </c>
      <c r="E18" s="19">
        <f>IF(E14=0,"N/A",E14/OPH_NonVspHmisParticipation[[#Totals],[Total Year-Round Beds]])</f>
        <v>1</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14"/>
    </row>
    <row r="21" spans="1:9" ht="17.100000000000001" customHeight="1" x14ac:dyDescent="0.25">
      <c r="A21" s="2" t="s">
        <v>8</v>
      </c>
      <c r="B21" s="22">
        <f>SUMIFS(HicRawData[Beds HH w/o Children],
HicRawData[Project Type],$I$2,
HicRawData[Inventory Type],"C",
HicRawData[Target Population],OPH_TargetPopulation[[#This Row],[Beds by Target Population]])</f>
        <v>0</v>
      </c>
      <c r="C21" s="22">
        <f>SUMIFS(HicRawData[Beds HH w/ Children],
HicRawData[Project Type],$I$2,
HicRawData[Inventory Type],"C",
HicRawData[Target Population],OPH_TargetPopulation[[#This Row],[Beds by Target Population]])</f>
        <v>0</v>
      </c>
      <c r="D21" s="22">
        <f>SUMIFS(HicRawData[Beds HH w/ only Children],
HicRawData[Project Type],$I$2,
HicRawData[Inventory Type],"C",
HicRawData[Target Population],OPH_TargetPopulation[[#This Row],[Beds by Target Population]])</f>
        <v>0</v>
      </c>
      <c r="E21" s="22">
        <f>SUM(OPH_TargetPopulation[[#This Row],[Households without Children]:[Households with only Children]])</f>
        <v>0</v>
      </c>
    </row>
    <row r="22" spans="1:9" ht="17.100000000000001" customHeight="1" x14ac:dyDescent="0.25">
      <c r="A22" s="2" t="s">
        <v>10</v>
      </c>
      <c r="B22" s="22">
        <f>SUMIFS(HicRawData[Beds HH w/o Children],
HicRawData[Project Type],$I$2,
HicRawData[Inventory Type],"C",
HicRawData[Target Population],OPH_TargetPopulation[[#This Row],[Beds by Target Population]])</f>
        <v>0</v>
      </c>
      <c r="C22" s="22">
        <f>SUMIFS(HicRawData[Beds HH w/ Children],
HicRawData[Project Type],$I$2,
HicRawData[Inventory Type],"C",
HicRawData[Target Population],OPH_TargetPopulation[[#This Row],[Beds by Target Population]])</f>
        <v>0</v>
      </c>
      <c r="D22" s="22">
        <f>SUMIFS(HicRawData[Beds HH w/ only Children],
HicRawData[Project Type],$I$2,
HicRawData[Inventory Type],"C",
HicRawData[Target Population],OPH_TargetPopulation[[#This Row],[Beds by Target Population]])</f>
        <v>0</v>
      </c>
      <c r="E22" s="22">
        <f>SUM(OPH_TargetPopulation[[#This Row],[Households without Children]:[Households with only Children]])</f>
        <v>0</v>
      </c>
    </row>
    <row r="23" spans="1:9" ht="17.100000000000001" customHeight="1" x14ac:dyDescent="0.25">
      <c r="A23" s="2" t="s">
        <v>0</v>
      </c>
      <c r="B23" s="22">
        <f>SUMIFS(HicRawData[Beds HH w/o Children],
HicRawData[Project Type],$I$2,
HicRawData[Inventory Type],"C",
HicRawData[Target Population],OPH_TargetPopulation[[#This Row],[Beds by Target Population]])</f>
        <v>9</v>
      </c>
      <c r="C23" s="22">
        <f>SUMIFS(HicRawData[Beds HH w/ Children],
HicRawData[Project Type],$I$2,
HicRawData[Inventory Type],"C",
HicRawData[Target Population],OPH_TargetPopulation[[#This Row],[Beds by Target Population]])</f>
        <v>0</v>
      </c>
      <c r="D23" s="22">
        <f>SUMIFS(HicRawData[Beds HH w/ only Children],
HicRawData[Project Type],$I$2,
HicRawData[Inventory Type],"C",
HicRawData[Target Population],OPH_TargetPopulation[[#This Row],[Beds by Target Population]])</f>
        <v>0</v>
      </c>
      <c r="E23" s="22">
        <f>SUM(OPH_TargetPopulation[[#This Row],[Households without Children]:[Households with only Children]])</f>
        <v>9</v>
      </c>
    </row>
    <row r="24" spans="1:9" ht="15" customHeight="1" x14ac:dyDescent="0.25">
      <c r="A24" s="2" t="s">
        <v>100</v>
      </c>
      <c r="B24" s="23">
        <f>SUBTOTAL(109,OPH_TargetPopulation[Households without Children])</f>
        <v>9</v>
      </c>
      <c r="C24" s="23">
        <f>SUBTOTAL(109,OPH_TargetPopulation[Households with Children])</f>
        <v>0</v>
      </c>
      <c r="D24" s="23">
        <f>SUBTOTAL(109,OPH_TargetPopulation[Households with only Children])</f>
        <v>0</v>
      </c>
      <c r="E24" s="23">
        <f>SUBTOTAL(109,OPH_TargetPopulation[Total Year-Round Beds])</f>
        <v>9</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SUMIFS(HicRawData[Beds HH w/o Children],
HicRawData[Project Type],$I$2,
HicRawData[Inventory Type],$I27)</f>
        <v>9</v>
      </c>
      <c r="C27" s="22">
        <f>SUMIFS(HicRawData[Beds HH w/ Children],
HicRawData[Project Type],$I$2,
HicRawData[Inventory Type],$I27)</f>
        <v>0</v>
      </c>
      <c r="D27" s="22">
        <f>SUMIFS(HicRawData[Beds HH w/ only Children],
HicRawData[Project Type],$I$2,
HicRawData[Inventory Type],$I27)</f>
        <v>0</v>
      </c>
      <c r="E27" s="22">
        <f>SUM(OPH_InventoryType[[#This Row],[Households without Children]:[Households with only Children]])</f>
        <v>9</v>
      </c>
      <c r="I27" s="31" t="s">
        <v>1</v>
      </c>
    </row>
    <row r="28" spans="1:9" ht="17.100000000000001" customHeight="1" x14ac:dyDescent="0.25">
      <c r="A28" s="2" t="s">
        <v>106</v>
      </c>
      <c r="B28" s="22">
        <f>SUMIFS(HicRawData[Beds HH w/o Children],
HicRawData[Project Type],$I$2,
HicRawData[Inventory Type],$I28)</f>
        <v>0</v>
      </c>
      <c r="C28" s="22">
        <f>SUMIFS(HicRawData[Beds HH w/ Children],
HicRawData[Project Type],$I$2,
HicRawData[Inventory Type],$I28)</f>
        <v>0</v>
      </c>
      <c r="D28" s="22">
        <f>SUMIFS(HicRawData[Beds HH w/ only Children],
HicRawData[Project Type],$I$2,
HicRawData[Inventory Type],$I28)</f>
        <v>0</v>
      </c>
      <c r="E28" s="22">
        <f>SUM(OPH_InventoryType[[#This Row],[Households without Children]:[Households with only Children]])</f>
        <v>0</v>
      </c>
      <c r="I28" s="31" t="s">
        <v>6</v>
      </c>
    </row>
    <row r="29" spans="1:9" ht="15" customHeight="1" x14ac:dyDescent="0.25">
      <c r="A29" s="2" t="s">
        <v>100</v>
      </c>
      <c r="B29" s="23">
        <f>SUBTOTAL(109,OPH_InventoryType[Households without Children])</f>
        <v>9</v>
      </c>
      <c r="C29" s="23">
        <f>SUBTOTAL(109,OPH_InventoryType[Households with Children])</f>
        <v>0</v>
      </c>
      <c r="D29" s="23">
        <f>SUBTOTAL(109,OPH_InventoryType[Households with only Children])</f>
        <v>0</v>
      </c>
      <c r="E29" s="23">
        <f>SUBTOTAL(109,OPH_InventoryType[Total Year-Round Beds])</f>
        <v>9</v>
      </c>
    </row>
    <row r="30" spans="1:9" ht="15" customHeight="1" x14ac:dyDescent="0.25">
      <c r="B30" s="23"/>
      <c r="C30" s="23"/>
      <c r="D30" s="23"/>
      <c r="E30" s="23"/>
    </row>
    <row r="31" spans="1:9" ht="72" customHeight="1" x14ac:dyDescent="0.25">
      <c r="A31"/>
      <c r="B31"/>
      <c r="C31"/>
      <c r="D31"/>
      <c r="E31"/>
      <c r="I31" s="31" t="s">
        <v>84</v>
      </c>
    </row>
    <row r="32" spans="1:9" ht="15" customHeight="1" x14ac:dyDescent="0.25">
      <c r="A32"/>
      <c r="B32"/>
      <c r="C32"/>
      <c r="D32"/>
      <c r="E32"/>
      <c r="I32" s="31" t="s">
        <v>9</v>
      </c>
    </row>
    <row r="33" spans="1:12" ht="15" customHeight="1" x14ac:dyDescent="0.25">
      <c r="A33"/>
      <c r="B33"/>
      <c r="C33"/>
      <c r="D33"/>
      <c r="E33"/>
      <c r="F33" s="23"/>
      <c r="I33" s="31" t="s">
        <v>12</v>
      </c>
      <c r="J33" s="3"/>
    </row>
    <row r="34" spans="1:12" ht="15" customHeight="1" x14ac:dyDescent="0.25">
      <c r="A34"/>
      <c r="B34"/>
      <c r="C34"/>
      <c r="D34"/>
      <c r="E34"/>
      <c r="F34" s="23"/>
      <c r="I34" s="31" t="s">
        <v>115</v>
      </c>
      <c r="J34" s="3"/>
    </row>
    <row r="35" spans="1:12" ht="15" customHeight="1" x14ac:dyDescent="0.25">
      <c r="A35"/>
      <c r="B35"/>
      <c r="C35"/>
      <c r="D35"/>
      <c r="E35"/>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SUMIFS(HicRawData[Beds HH w/o Children],
HicRawData[Project Type],$I$2,
HicRawData[Inventory Type],"C",
HicRawData[Project Type], OPH_ProjectType[[#This Row],[All Beds by Project Type]])</f>
        <v>0</v>
      </c>
      <c r="C38" s="22">
        <f>SUMIFS(HicRawData[Beds HH w/ Children],
HicRawData[Project Type],$I$2,
HicRawData[Inventory Type],"C",
HicRawData[Project Type], OPH_ProjectType[[#This Row],[All Beds by Project Type]])</f>
        <v>0</v>
      </c>
      <c r="D38" s="22">
        <f>SUMIFS(HicRawData[Beds HH w/ only Children],
HicRawData[Project Type],$I$2,
HicRawData[Inventory Type],"C",
HicRawData[Project Type], OPH_ProjectType[[#This Row],[All Beds by Project Type]])</f>
        <v>0</v>
      </c>
      <c r="E38" s="22">
        <f>SUM(OPH_ProjectType[[#This Row],[Households without Children]:[Households with only Children]])</f>
        <v>0</v>
      </c>
    </row>
    <row r="39" spans="1:12" ht="17.100000000000001" customHeight="1" x14ac:dyDescent="0.25">
      <c r="A39" s="2" t="s">
        <v>2</v>
      </c>
      <c r="B39" s="22">
        <f>SUMIFS(HicRawData[Beds HH w/o Children],
HicRawData[Project Type],$I$2,
HicRawData[Inventory Type],"C",
HicRawData[Project Type], OPH_ProjectType[[#This Row],[All Beds by Project Type]])</f>
        <v>0</v>
      </c>
      <c r="C39" s="22">
        <f>SUMIFS(HicRawData[Beds HH w/ Children],
HicRawData[Project Type],$I$2,
HicRawData[Inventory Type],"C",
HicRawData[Project Type], OPH_ProjectType[[#This Row],[All Beds by Project Type]])</f>
        <v>0</v>
      </c>
      <c r="D39" s="22">
        <f>SUMIFS(HicRawData[Beds HH w/ only Children],
HicRawData[Project Type],$I$2,
HicRawData[Inventory Type],"C",
HicRawData[Project Type], OPH_ProjectType[[#This Row],[All Beds by Project Type]])</f>
        <v>0</v>
      </c>
      <c r="E39" s="22">
        <f>SUM(OPH_ProjectType[[#This Row],[Households without Children]:[Households with only Children]])</f>
        <v>0</v>
      </c>
      <c r="H39" s="6"/>
    </row>
    <row r="40" spans="1:12" ht="17.100000000000001" customHeight="1" x14ac:dyDescent="0.25">
      <c r="A40" s="2" t="s">
        <v>11</v>
      </c>
      <c r="B40" s="22">
        <f>SUMIFS(HicRawData[Beds HH w/o Children],
HicRawData[Project Type],$I$2,
HicRawData[Inventory Type],"C",
HicRawData[Project Type], OPH_ProjectType[[#This Row],[All Beds by Project Type]])</f>
        <v>0</v>
      </c>
      <c r="C40" s="22">
        <f>SUMIFS(HicRawData[Beds HH w/ Children],
HicRawData[Project Type],$I$2,
HicRawData[Inventory Type],"C",
HicRawData[Project Type], OPH_ProjectType[[#This Row],[All Beds by Project Type]])</f>
        <v>0</v>
      </c>
      <c r="D40" s="22">
        <f>SUMIFS(HicRawData[Beds HH w/ only Children],
HicRawData[Project Type],$I$2,
HicRawData[Inventory Type],"C",
HicRawData[Project Type], OPH_ProjectType[[#This Row],[All Beds by Project Type]])</f>
        <v>0</v>
      </c>
      <c r="E40" s="22">
        <f>SUM(OPH_ProjectType[[#This Row],[Households without Children]:[Households with only Children]])</f>
        <v>0</v>
      </c>
      <c r="H40" s="6"/>
    </row>
    <row r="41" spans="1:12" ht="17.100000000000001" customHeight="1" x14ac:dyDescent="0.25">
      <c r="A41" s="2" t="s">
        <v>4</v>
      </c>
      <c r="B41" s="22">
        <f>SUMIFS(HicRawData[Beds HH w/o Children],
HicRawData[Project Type],$I$2,
HicRawData[Inventory Type],"C",
HicRawData[Project Type], OPH_ProjectType[[#This Row],[All Beds by Project Type]])</f>
        <v>0</v>
      </c>
      <c r="C41" s="22">
        <f>SUMIFS(HicRawData[Beds HH w/ Children],
HicRawData[Project Type],$I$2,
HicRawData[Inventory Type],"C",
HicRawData[Project Type], OPH_ProjectType[[#This Row],[All Beds by Project Type]])</f>
        <v>0</v>
      </c>
      <c r="D41" s="22">
        <f>SUMIFS(HicRawData[Beds HH w/ only Children],
HicRawData[Project Type],$I$2,
HicRawData[Inventory Type],"C",
HicRawData[Project Type], OPH_ProjectType[[#This Row],[All Beds by Project Type]])</f>
        <v>0</v>
      </c>
      <c r="E41" s="22">
        <f>SUM(OPH_ProjectType[[#This Row],[Households without Children]:[Households with only Children]])</f>
        <v>0</v>
      </c>
    </row>
    <row r="42" spans="1:12" ht="17.100000000000001" customHeight="1" x14ac:dyDescent="0.25">
      <c r="A42" s="2" t="s">
        <v>5</v>
      </c>
      <c r="B42" s="22">
        <f>SUMIFS(HicRawData[Beds HH w/o Children],
HicRawData[Project Type],$I$2,
HicRawData[Inventory Type],"C",
HicRawData[Project Type], OPH_ProjectType[[#This Row],[All Beds by Project Type]])</f>
        <v>0</v>
      </c>
      <c r="C42" s="22">
        <f>SUMIFS(HicRawData[Beds HH w/ Children],
HicRawData[Project Type],$I$2,
HicRawData[Inventory Type],"C",
HicRawData[Project Type], OPH_ProjectType[[#This Row],[All Beds by Project Type]])</f>
        <v>0</v>
      </c>
      <c r="D42" s="22">
        <f>SUMIFS(HicRawData[Beds HH w/ only Children],
HicRawData[Project Type],$I$2,
HicRawData[Inventory Type],"C",
HicRawData[Project Type], OPH_ProjectType[[#This Row],[All Beds by Project Type]])</f>
        <v>0</v>
      </c>
      <c r="E42" s="22">
        <f>SUM(OPH_ProjectType[[#This Row],[Households without Children]:[Households with only Children]])</f>
        <v>0</v>
      </c>
    </row>
    <row r="43" spans="1:12" ht="17.100000000000001" customHeight="1" x14ac:dyDescent="0.25">
      <c r="A43" s="2" t="s">
        <v>7</v>
      </c>
      <c r="B43" s="22">
        <f>SUMIFS(HicRawData[Beds HH w/o Children],
HicRawData[Project Type],$I$2,
HicRawData[Inventory Type],"C",
HicRawData[Project Type], OPH_ProjectType[[#This Row],[All Beds by Project Type]])</f>
        <v>9</v>
      </c>
      <c r="C43" s="22">
        <f>SUMIFS(HicRawData[Beds HH w/ Children],
HicRawData[Project Type],$I$2,
HicRawData[Inventory Type],"C",
HicRawData[Project Type], OPH_ProjectType[[#This Row],[All Beds by Project Type]])</f>
        <v>0</v>
      </c>
      <c r="D43" s="22">
        <f>SUMIFS(HicRawData[Beds HH w/ only Children],
HicRawData[Project Type],$I$2,
HicRawData[Inventory Type],"C",
HicRawData[Project Type], OPH_ProjectType[[#This Row],[All Beds by Project Type]])</f>
        <v>0</v>
      </c>
      <c r="E43" s="22">
        <f>SUM(OPH_ProjectType[[#This Row],[Households without Children]:[Households with only Children]])</f>
        <v>9</v>
      </c>
    </row>
    <row r="44" spans="1:12" ht="15" customHeight="1" x14ac:dyDescent="0.25">
      <c r="A44" s="2" t="s">
        <v>100</v>
      </c>
      <c r="B44" s="23">
        <f>SUBTOTAL(109,OPH_ProjectType[Households without Children])</f>
        <v>9</v>
      </c>
      <c r="C44" s="23">
        <f>SUBTOTAL(109,OPH_ProjectType[Households with Children])</f>
        <v>0</v>
      </c>
      <c r="D44" s="23">
        <f>SUBTOTAL(109,OPH_ProjectType[Households with only Children])</f>
        <v>0</v>
      </c>
      <c r="E44" s="23">
        <f>SUBTOTAL(109,OPH_ProjectType[Total Year-Round Beds])</f>
        <v>9</v>
      </c>
    </row>
    <row r="45" spans="1:12" ht="15" customHeight="1" x14ac:dyDescent="0.25">
      <c r="B45" s="23"/>
      <c r="C45" s="23"/>
      <c r="D45" s="23"/>
      <c r="E45" s="23"/>
    </row>
    <row r="46" spans="1:12" ht="72" customHeight="1" x14ac:dyDescent="0.25">
      <c r="A46" s="16" t="s">
        <v>125</v>
      </c>
      <c r="B46" s="16" t="s">
        <v>96</v>
      </c>
      <c r="C46" s="16" t="s">
        <v>97</v>
      </c>
      <c r="D46" s="16" t="s">
        <v>98</v>
      </c>
      <c r="E46" s="16" t="s">
        <v>99</v>
      </c>
      <c r="J46" s="12"/>
      <c r="K46" s="12"/>
      <c r="L46" s="12"/>
    </row>
    <row r="47" spans="1:12" ht="17.100000000000001" customHeight="1" x14ac:dyDescent="0.25">
      <c r="A47" s="2" t="s">
        <v>3</v>
      </c>
      <c r="B47" s="22">
        <f>SUMIFS(HicRawData[Beds HH w/o Children],
HicRawData[Project Type],$I$2,
HicRawData[Inventory Type],"C",
HicRawData[Project Type], OPH_ProjectTypeHmisParticipation[[#This Row],[HMIS Beds by Project Type]],
HicRawData[HMIS Participating], "Yes")</f>
        <v>0</v>
      </c>
      <c r="C47" s="22">
        <f>SUMIFS(HicRawData[Beds HH w/ Children],
HicRawData[Project Type],$I$2,
HicRawData[Inventory Type],"C",
HicRawData[Project Type], OPH_ProjectTypeHmisParticipation[[#This Row],[HMIS Beds by Project Type]],
HicRawData[HMIS Participating], "Yes")</f>
        <v>0</v>
      </c>
      <c r="D47" s="22">
        <f>SUMIFS(HicRawData[Beds HH w/ only Children],
HicRawData[Project Type],$I$2,
HicRawData[Inventory Type],"C",
HicRawData[Project Type], OPH_ProjectTypeHmisParticipation[[#This Row],[HMIS Beds by Project Type]],
HicRawData[HMIS Participating], "Yes")</f>
        <v>0</v>
      </c>
      <c r="E47" s="21">
        <f>B47+C47+D47</f>
        <v>0</v>
      </c>
    </row>
    <row r="48" spans="1:12" ht="17.100000000000001" customHeight="1" x14ac:dyDescent="0.25">
      <c r="A48" s="2" t="s">
        <v>2</v>
      </c>
      <c r="B48" s="21">
        <f>SUMIFS(HicRawData[Beds HH w/o Children],
HicRawData[Project Type],$I$2,
HicRawData[Inventory Type],"C",
HicRawData[Project Type], OPH_ProjectTypeHmisParticipation[[#This Row],[HMIS Beds by Project Type]],
HicRawData[HMIS Participating], "Yes")</f>
        <v>0</v>
      </c>
      <c r="C48" s="21">
        <f>SUMIFS(HicRawData[Beds HH w/ Children],
HicRawData[Project Type],$I$2,
HicRawData[Inventory Type],"C",
HicRawData[Project Type], OPH_ProjectTypeHmisParticipation[[#This Row],[HMIS Beds by Project Type]],
HicRawData[HMIS Participating], "Yes")</f>
        <v>0</v>
      </c>
      <c r="D48" s="21">
        <f>SUMIFS(HicRawData[Beds HH w/ only Children],
HicRawData[Project Type],$I$2,
HicRawData[Inventory Type],"C",
HicRawData[Project Type], OPH_ProjectTypeHmisParticipation[[#This Row],[HMIS Beds by Project Type]],
HicRawData[HMIS Participating], "Yes")</f>
        <v>0</v>
      </c>
      <c r="E48" s="21">
        <f t="shared" ref="E48:E52" si="0">B48+C48+D48</f>
        <v>0</v>
      </c>
    </row>
    <row r="49" spans="1:5" ht="17.100000000000001" customHeight="1" x14ac:dyDescent="0.25">
      <c r="A49" s="2" t="s">
        <v>11</v>
      </c>
      <c r="B49" s="21">
        <f>SUMIFS(HicRawData[Beds HH w/o Children],
HicRawData[Project Type],$I$2,
HicRawData[Inventory Type],"C",
HicRawData[Project Type], OPH_ProjectTypeHmisParticipation[[#This Row],[HMIS Beds by Project Type]],
HicRawData[HMIS Participating], "Yes")</f>
        <v>0</v>
      </c>
      <c r="C49" s="21">
        <f>SUMIFS(HicRawData[Beds HH w/ Children],
HicRawData[Project Type],$I$2,
HicRawData[Inventory Type],"C",
HicRawData[Project Type], OPH_ProjectTypeHmisParticipation[[#This Row],[HMIS Beds by Project Type]],
HicRawData[HMIS Participating], "Yes")</f>
        <v>0</v>
      </c>
      <c r="D49" s="21">
        <f>SUMIFS(HicRawData[Beds HH w/ only Children],
HicRawData[Project Type],$I$2,
HicRawData[Inventory Type],"C",
HicRawData[Project Type], OPH_ProjectTypeHmisParticipation[[#This Row],[HMIS Beds by Project Type]],
HicRawData[HMIS Participating], "Yes")</f>
        <v>0</v>
      </c>
      <c r="E49" s="21">
        <f t="shared" si="0"/>
        <v>0</v>
      </c>
    </row>
    <row r="50" spans="1:5" ht="17.100000000000001" customHeight="1" x14ac:dyDescent="0.25">
      <c r="A50" s="2" t="s">
        <v>4</v>
      </c>
      <c r="B50" s="21">
        <f>SUMIFS(HicRawData[Beds HH w/o Children],
HicRawData[Project Type],$I$2,
HicRawData[Inventory Type],"C",
HicRawData[Project Type], OPH_ProjectTypeHmisParticipation[[#This Row],[HMIS Beds by Project Type]],
HicRawData[HMIS Participating], "Yes")</f>
        <v>0</v>
      </c>
      <c r="C50" s="21">
        <f>SUMIFS(HicRawData[Beds HH w/ Children],
HicRawData[Project Type],$I$2,
HicRawData[Inventory Type],"C",
HicRawData[Project Type], OPH_ProjectTypeHmisParticipation[[#This Row],[HMIS Beds by Project Type]],
HicRawData[HMIS Participating], "Yes")</f>
        <v>0</v>
      </c>
      <c r="D50" s="21">
        <f>SUMIFS(HicRawData[Beds HH w/ only Children],
HicRawData[Project Type],$I$2,
HicRawData[Inventory Type],"C",
HicRawData[Project Type], OPH_ProjectTypeHmisParticipation[[#This Row],[HMIS Beds by Project Type]],
HicRawData[HMIS Participating], "Yes")</f>
        <v>0</v>
      </c>
      <c r="E50" s="21">
        <f t="shared" si="0"/>
        <v>0</v>
      </c>
    </row>
    <row r="51" spans="1:5" ht="17.100000000000001" customHeight="1" x14ac:dyDescent="0.25">
      <c r="A51" s="2" t="s">
        <v>5</v>
      </c>
      <c r="B51" s="21">
        <f>SUMIFS(HicRawData[Beds HH w/o Children],
HicRawData[Project Type],$I$2,
HicRawData[Inventory Type],"C",
HicRawData[Project Type], OPH_ProjectTypeHmisParticipation[[#This Row],[HMIS Beds by Project Type]],
HicRawData[HMIS Participating], "Yes")</f>
        <v>0</v>
      </c>
      <c r="C51" s="21">
        <f>SUMIFS(HicRawData[Beds HH w/ Children],
HicRawData[Project Type],$I$2,
HicRawData[Inventory Type],"C",
HicRawData[Project Type], OPH_ProjectTypeHmisParticipation[[#This Row],[HMIS Beds by Project Type]],
HicRawData[HMIS Participating], "Yes")</f>
        <v>0</v>
      </c>
      <c r="D51" s="21">
        <f>SUMIFS(HicRawData[Beds HH w/ only Children],
HicRawData[Project Type],$I$2,
HicRawData[Inventory Type],"C",
HicRawData[Project Type], OPH_ProjectTypeHmisParticipation[[#This Row],[HMIS Beds by Project Type]],
HicRawData[HMIS Participating], "Yes")</f>
        <v>0</v>
      </c>
      <c r="E51" s="21">
        <f t="shared" si="0"/>
        <v>0</v>
      </c>
    </row>
    <row r="52" spans="1:5" ht="17.100000000000001" customHeight="1" x14ac:dyDescent="0.25">
      <c r="A52" s="2" t="s">
        <v>7</v>
      </c>
      <c r="B52" s="21">
        <f>SUMIFS(HicRawData[Beds HH w/o Children],
HicRawData[Project Type],$I$2,
HicRawData[Inventory Type],"C",
HicRawData[Project Type], OPH_ProjectTypeHmisParticipation[[#This Row],[HMIS Beds by Project Type]],
HicRawData[HMIS Participating], "Yes")</f>
        <v>9</v>
      </c>
      <c r="C52" s="21">
        <f>SUMIFS(HicRawData[Beds HH w/ Children],
HicRawData[Project Type],$I$2,
HicRawData[Inventory Type],"C",
HicRawData[Project Type], OPH_ProjectTypeHmisParticipation[[#This Row],[HMIS Beds by Project Type]],
HicRawData[HMIS Participating], "Yes")</f>
        <v>0</v>
      </c>
      <c r="D52" s="21">
        <f>SUMIFS(HicRawData[Beds HH w/ only Children],
HicRawData[Project Type],$I$2,
HicRawData[Inventory Type],"C",
HicRawData[Project Type], OPH_ProjectTypeHmisParticipation[[#This Row],[HMIS Beds by Project Type]],
HicRawData[HMIS Participating], "Yes")</f>
        <v>0</v>
      </c>
      <c r="E52" s="21">
        <f t="shared" si="0"/>
        <v>9</v>
      </c>
    </row>
    <row r="53" spans="1:5" x14ac:dyDescent="0.25">
      <c r="A53" s="2" t="s">
        <v>100</v>
      </c>
      <c r="B53" s="24">
        <f>SUBTOTAL(109,OPH_ProjectTypeHmisParticipation[Households without Children])</f>
        <v>9</v>
      </c>
      <c r="C53" s="24">
        <f>SUBTOTAL(109,OPH_ProjectTypeHmisParticipation[Households with Children])</f>
        <v>0</v>
      </c>
      <c r="D53" s="24">
        <f>SUBTOTAL(109,OPH_ProjectTypeHmisParticipation[Households with only Children])</f>
        <v>0</v>
      </c>
      <c r="E53" s="21">
        <f>SUBTOTAL(109,OPH_ProjectTypeHmisParticipation[Total Year-Round Beds])</f>
        <v>9</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10"/>
      <c r="B60" s="11"/>
    </row>
    <row r="61" spans="1:5" x14ac:dyDescent="0.25">
      <c r="A61" s="10"/>
      <c r="B61" s="11"/>
    </row>
    <row r="62" spans="1:5" x14ac:dyDescent="0.25">
      <c r="A62" s="10"/>
      <c r="B62" s="11"/>
    </row>
    <row r="63" spans="1:5" x14ac:dyDescent="0.25">
      <c r="A63" s="10"/>
      <c r="B63" s="1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uiNFG26wBAIUlGGhjJJukkEbaVs1UhbXE+82nJloJFZzWKtOtKQjM8S3IMbyLnFDXxuEmMKW+S0sbydBD3uU7A==" saltValue="rEiVaI8+17Ffd75j6NwNCQ==" spinCount="100000" sheet="1" objects="1" scenarios="1"/>
  <conditionalFormatting sqref="A4:G4">
    <cfRule type="expression" dxfId="110"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97B46-B6DD-429B-9CE5-B2AE5FAA5C94}">
  <sheetPr codeName="Sheet13"/>
  <dimension ref="A1:L97"/>
  <sheetViews>
    <sheetView zoomScaleNormal="100" workbookViewId="0"/>
  </sheetViews>
  <sheetFormatPr defaultColWidth="0" defaultRowHeight="15" zeroHeight="1" x14ac:dyDescent="0.25"/>
  <cols>
    <col min="1" max="1" width="31.7109375" style="2" customWidth="1"/>
    <col min="2" max="7" width="16.7109375" style="2" customWidth="1"/>
    <col min="8" max="8" width="9.140625" style="2" hidden="1" customWidth="1"/>
    <col min="9" max="9" width="9.140625" style="31" hidden="1" customWidth="1"/>
    <col min="10" max="10" width="9.140625" style="2" hidden="1" customWidth="1"/>
    <col min="11" max="12" width="0" style="2" hidden="1" customWidth="1"/>
    <col min="13" max="16384" width="9.140625" style="2" hidden="1"/>
  </cols>
  <sheetData>
    <row r="1" spans="1:9" ht="21" customHeight="1" x14ac:dyDescent="0.25">
      <c r="A1" s="27" t="s">
        <v>112</v>
      </c>
      <c r="B1" s="28"/>
      <c r="C1" s="28"/>
      <c r="D1" s="28"/>
      <c r="E1" s="28"/>
      <c r="F1" s="28"/>
      <c r="G1" s="28"/>
      <c r="I1" s="31" t="s">
        <v>86</v>
      </c>
    </row>
    <row r="2" spans="1:9" ht="18" customHeight="1" x14ac:dyDescent="0.25">
      <c r="A2" s="29" t="str">
        <f>CONCATENATE(IF(I2="*","All",I2)," Beds Summary")</f>
        <v>RRH Beds Summary</v>
      </c>
      <c r="B2" s="28"/>
      <c r="C2" s="28"/>
      <c r="D2" s="28"/>
      <c r="E2" s="28"/>
      <c r="F2" s="28"/>
      <c r="G2" s="28"/>
      <c r="I2" s="31" t="s">
        <v>4</v>
      </c>
    </row>
    <row r="3" spans="1:9" ht="18" customHeight="1" x14ac:dyDescent="0.25">
      <c r="A3" s="47" t="str">
        <f ca="1">HeadingLine2</f>
        <v>VA-604: Prince William County CoC</v>
      </c>
      <c r="G3" s="28"/>
    </row>
    <row r="4" spans="1:9" ht="18" customHeight="1" x14ac:dyDescent="0.25">
      <c r="A4" s="47" t="str">
        <f ca="1">HeadingLine3</f>
        <v>HIC Date: Wed 1/24/24</v>
      </c>
      <c r="G4" s="28"/>
    </row>
    <row r="5" spans="1:9" ht="15" customHeight="1" x14ac:dyDescent="0.25">
      <c r="B5" s="12"/>
      <c r="C5" s="12"/>
      <c r="D5" s="12"/>
      <c r="G5" s="14"/>
      <c r="H5" s="14"/>
    </row>
    <row r="6" spans="1:9" ht="72" customHeight="1" x14ac:dyDescent="0.25">
      <c r="A6" s="16" t="s">
        <v>102</v>
      </c>
      <c r="B6" s="16" t="s">
        <v>96</v>
      </c>
      <c r="C6" s="16" t="s">
        <v>97</v>
      </c>
      <c r="D6" s="16" t="s">
        <v>98</v>
      </c>
      <c r="E6" s="16" t="s">
        <v>99</v>
      </c>
      <c r="I6" s="31" t="s">
        <v>84</v>
      </c>
    </row>
    <row r="7" spans="1:9" ht="17.100000000000001" customHeight="1" x14ac:dyDescent="0.25">
      <c r="A7" s="10" t="s">
        <v>107</v>
      </c>
      <c r="B7" s="18">
        <f>SUMIFS(HicRawData[Beds HH w/o Children],
HicRawData[Project Type],$I$2,
HicRawData[Inventory Type],"C",
HicRawData[HMIS Participating],$I7)</f>
        <v>10</v>
      </c>
      <c r="C7" s="18">
        <f>SUMIFS(HicRawData[Beds HH w/ Children],
HicRawData[Project Type],$I$2,
HicRawData[Inventory Type],"C",
HicRawData[HMIS Participating],$I7)</f>
        <v>28</v>
      </c>
      <c r="D7" s="18">
        <f>SUMIFS(HicRawData[Beds HH w/ only Children],
HicRawData[Project Type],$I$2,
HicRawData[Inventory Type],"C",
HicRawData[HMIS Participating],$I7)</f>
        <v>0</v>
      </c>
      <c r="E7" s="18">
        <f>SUM(RRH_HmisParticipation[[#This Row],[Households without Children]:[Households with only Children]])</f>
        <v>38</v>
      </c>
      <c r="I7" s="31" t="s">
        <v>9</v>
      </c>
    </row>
    <row r="8" spans="1:9" ht="17.100000000000001" customHeight="1" x14ac:dyDescent="0.25">
      <c r="A8" s="10" t="s">
        <v>108</v>
      </c>
      <c r="B8" s="18">
        <f>SUMIFS(HicRawData[Beds HH w/o Children],
HicRawData[Project Type],$I$2,
HicRawData[Inventory Type],"C",
HicRawData[HMIS Participating],$I8)</f>
        <v>14</v>
      </c>
      <c r="C8" s="18">
        <f>SUMIFS(HicRawData[Beds HH w/ Children],
HicRawData[Project Type],$I$2,
HicRawData[Inventory Type],"C",
HicRawData[HMIS Participating],$I8)</f>
        <v>7</v>
      </c>
      <c r="D8" s="18">
        <f>SUMIFS(HicRawData[Beds HH w/ only Children],
HicRawData[Project Type],$I$2,
HicRawData[Inventory Type],"C",
HicRawData[HMIS Participating],$I8)</f>
        <v>0</v>
      </c>
      <c r="E8" s="18">
        <f>SUM(RRH_HmisParticipation[[#This Row],[Households without Children]:[Households with only Children]])</f>
        <v>21</v>
      </c>
      <c r="I8" s="31" t="s">
        <v>12</v>
      </c>
    </row>
    <row r="9" spans="1:9" ht="17.100000000000001" customHeight="1" x14ac:dyDescent="0.25">
      <c r="A9" s="10" t="s">
        <v>130</v>
      </c>
      <c r="B9" s="18">
        <f>SUMIFS(HicRawData[Beds HH w/o Children],
HicRawData[Project Type],$I$2,
HicRawData[Inventory Type],"C",
HicRawData[HMIS Participating],$I9)</f>
        <v>2</v>
      </c>
      <c r="C9" s="18">
        <f>SUMIFS(HicRawData[Beds HH w/ Children],
HicRawData[Project Type],$I$2,
HicRawData[Inventory Type],"C",
HicRawData[HMIS Participating],$I9)</f>
        <v>27</v>
      </c>
      <c r="D9" s="18">
        <f>SUMIFS(HicRawData[Beds HH w/ only Children],
HicRawData[Project Type],$I$2,
HicRawData[Inventory Type],"C",
HicRawData[HMIS Participating],$I9)</f>
        <v>0</v>
      </c>
      <c r="E9" s="18">
        <f>SUM(RRH_HmisParticipation[[#This Row],[Households without Children]:[Households with only Children]])</f>
        <v>29</v>
      </c>
      <c r="I9" s="31" t="s">
        <v>115</v>
      </c>
    </row>
    <row r="10" spans="1:9" ht="17.100000000000001" customHeight="1" x14ac:dyDescent="0.25">
      <c r="A10" s="2" t="s">
        <v>100</v>
      </c>
      <c r="B10" s="18">
        <f>SUBTOTAL(109,RRH_HmisParticipation[Households without Children])</f>
        <v>26</v>
      </c>
      <c r="C10" s="18">
        <f>SUBTOTAL(109,RRH_HmisParticipation[Households with Children])</f>
        <v>62</v>
      </c>
      <c r="D10" s="18">
        <f>SUBTOTAL(109,RRH_HmisParticipation[Households with only Children])</f>
        <v>0</v>
      </c>
      <c r="E10" s="18">
        <f>SUBTOTAL(109,RRH_HmisParticipation[Total Year-Round Beds])</f>
        <v>88</v>
      </c>
    </row>
    <row r="11" spans="1:9" ht="15" customHeight="1" x14ac:dyDescent="0.25">
      <c r="A11" s="4" t="s">
        <v>101</v>
      </c>
      <c r="B11" s="19">
        <f>IF(B7=0,"N/A",B7/RRH_HmisParticipation[[#Totals],[Households without Children]])</f>
        <v>0.38461538461538464</v>
      </c>
      <c r="C11" s="19">
        <f>IF(C7=0,"N/A",C7/RRH_HmisParticipation[[#Totals],[Households with Children]])</f>
        <v>0.45161290322580644</v>
      </c>
      <c r="D11" s="19" t="str">
        <f>IF(D7=0,"N/A",D7/RRH_HmisParticipation[[#Totals],[Households with only Children]])</f>
        <v>N/A</v>
      </c>
      <c r="E11" s="19">
        <f>IF(E7=0,"N/A",E7/RRH_HmisParticipation[[#Totals],[Total Year-Round Beds]])</f>
        <v>0.43181818181818182</v>
      </c>
      <c r="G11" s="30"/>
    </row>
    <row r="12" spans="1:9" ht="15" customHeight="1" x14ac:dyDescent="0.25">
      <c r="A12" s="4"/>
      <c r="B12" s="5"/>
      <c r="C12" s="5"/>
      <c r="D12" s="5"/>
      <c r="E12" s="5"/>
      <c r="G12" s="30"/>
    </row>
    <row r="13" spans="1:9" ht="72" customHeight="1" x14ac:dyDescent="0.25">
      <c r="A13" s="15" t="s">
        <v>127</v>
      </c>
      <c r="B13" s="15" t="s">
        <v>96</v>
      </c>
      <c r="C13" s="15" t="s">
        <v>97</v>
      </c>
      <c r="D13" s="15" t="s">
        <v>98</v>
      </c>
      <c r="E13" s="15" t="s">
        <v>99</v>
      </c>
      <c r="I13" s="31" t="s">
        <v>84</v>
      </c>
    </row>
    <row r="14" spans="1:9" ht="17.100000000000001" customHeight="1" x14ac:dyDescent="0.25">
      <c r="A14" s="10" t="s">
        <v>113</v>
      </c>
      <c r="B14" s="18">
        <f>SUMIFS(HicRawData[Beds HH w/o Children],
HicRawData[Project Type],$I$2,
HicRawData[Inventory Type],"C",
HicRawData[HMIS Participating],$I14,
HicRawData[Victim Service Provider],0)</f>
        <v>10</v>
      </c>
      <c r="C14" s="18">
        <f>SUMIFS(HicRawData[Beds HH w/ Children],
HicRawData[Project Type],$I$2,
HicRawData[Inventory Type],"C",
HicRawData[HMIS Participating],$I14,
HicRawData[Victim Service Provider],0)</f>
        <v>28</v>
      </c>
      <c r="D14" s="18">
        <f>SUMIFS(HicRawData[Beds HH w/ only Children],
HicRawData[Project Type],$I$2,
HicRawData[Inventory Type],"C",
HicRawData[HMIS Participating],$I14,
HicRawData[Victim Service Provider],0)</f>
        <v>0</v>
      </c>
      <c r="E14" s="18">
        <f>SUM(RRH_NonVspHmisParticipation[[#This Row],[Households without Children]:[Households with only Children]])</f>
        <v>38</v>
      </c>
      <c r="I14" s="31" t="s">
        <v>9</v>
      </c>
    </row>
    <row r="15" spans="1:9" ht="17.100000000000001" customHeight="1" x14ac:dyDescent="0.25">
      <c r="A15" s="10" t="s">
        <v>114</v>
      </c>
      <c r="B15" s="18">
        <f>SUMIFS(HicRawData[Beds HH w/o Children],
HicRawData[Project Type],$I$2,
HicRawData[Inventory Type],"C",
HicRawData[HMIS Participating],$I15,
HicRawData[Victim Service Provider],0)</f>
        <v>14</v>
      </c>
      <c r="C15" s="18">
        <f>SUMIFS(HicRawData[Beds HH w/ Children],
HicRawData[Project Type],$I$2,
HicRawData[Inventory Type],"C",
HicRawData[HMIS Participating],$I15,
HicRawData[Victim Service Provider],0)</f>
        <v>7</v>
      </c>
      <c r="D15" s="18">
        <f>SUMIFS(HicRawData[Beds HH w/ only Children],
HicRawData[Project Type],$I$2,
HicRawData[Inventory Type],"C",
HicRawData[HMIS Participating],$I15,
HicRawData[Victim Service Provider],0)</f>
        <v>0</v>
      </c>
      <c r="E15" s="18">
        <f>SUM(RRH_NonVspHmisParticipation[[#This Row],[Households without Children]:[Households with only Children]])</f>
        <v>21</v>
      </c>
      <c r="I15" s="31" t="s">
        <v>12</v>
      </c>
    </row>
    <row r="16" spans="1:9" ht="17.100000000000001" customHeight="1" x14ac:dyDescent="0.25">
      <c r="A16" s="10" t="s">
        <v>129</v>
      </c>
      <c r="B16" s="18">
        <f>SUMIFS(HicRawData[Beds HH w/o Children],
HicRawData[Project Type],$I$2,
HicRawData[Inventory Type],"C",
HicRawData[HMIS Participating],$I16,
HicRawData[Victim Service Provider],0)</f>
        <v>0</v>
      </c>
      <c r="C16" s="18">
        <f>SUMIFS(HicRawData[Beds HH w/ Children],
HicRawData[Project Type],$I$2,
HicRawData[Inventory Type],"C",
HicRawData[HMIS Participating],$I16,
HicRawData[Victim Service Provider],0)</f>
        <v>0</v>
      </c>
      <c r="D16" s="18">
        <f>SUMIFS(HicRawData[Beds HH w/ only Children],
HicRawData[Project Type],$I$2,
HicRawData[Inventory Type],"C",
HicRawData[HMIS Participating],$I16,
HicRawData[Victim Service Provider],0)</f>
        <v>0</v>
      </c>
      <c r="E16" s="18">
        <f>SUM(RRH_NonVspHmisParticipation[[#This Row],[Households without Children]:[Households with only Children]])</f>
        <v>0</v>
      </c>
      <c r="I16" s="31" t="s">
        <v>115</v>
      </c>
    </row>
    <row r="17" spans="1:9" ht="17.100000000000001" customHeight="1" x14ac:dyDescent="0.25">
      <c r="A17" s="10" t="s">
        <v>100</v>
      </c>
      <c r="B17" s="20">
        <f>SUBTOTAL(109,RRH_NonVspHmisParticipation[Households without Children])</f>
        <v>24</v>
      </c>
      <c r="C17" s="20">
        <f>SUBTOTAL(109,RRH_NonVspHmisParticipation[Households with Children])</f>
        <v>35</v>
      </c>
      <c r="D17" s="20">
        <f>SUBTOTAL(109,RRH_NonVspHmisParticipation[Households with only Children])</f>
        <v>0</v>
      </c>
      <c r="E17" s="20">
        <f>SUBTOTAL(109,RRH_NonVspHmisParticipation[Total Year-Round Beds])</f>
        <v>59</v>
      </c>
    </row>
    <row r="18" spans="1:9" ht="15" customHeight="1" x14ac:dyDescent="0.25">
      <c r="A18" s="4" t="s">
        <v>128</v>
      </c>
      <c r="B18" s="19">
        <f>IF(B14=0,"N/A",B14/RRH_NonVspHmisParticipation[[#Totals],[Households without Children]])</f>
        <v>0.41666666666666669</v>
      </c>
      <c r="C18" s="19">
        <f>IF(C14=0,"N/A",C14/RRH_NonVspHmisParticipation[[#Totals],[Households with Children]])</f>
        <v>0.8</v>
      </c>
      <c r="D18" s="19" t="str">
        <f>IF(D14=0,"N/A",D14/RRH_NonVspHmisParticipation[[#Totals],[Households with only Children]])</f>
        <v>N/A</v>
      </c>
      <c r="E18" s="19">
        <f>IF(E14=0,"N/A",E14/RRH_NonVspHmisParticipation[[#Totals],[Total Year-Round Beds]])</f>
        <v>0.64406779661016944</v>
      </c>
    </row>
    <row r="19" spans="1:9" ht="15" customHeight="1" x14ac:dyDescent="0.25">
      <c r="A19" s="4"/>
      <c r="B19" s="17"/>
      <c r="C19" s="17"/>
      <c r="D19" s="17"/>
      <c r="E19" s="17"/>
    </row>
    <row r="20" spans="1:9" ht="72" customHeight="1" x14ac:dyDescent="0.25">
      <c r="A20" s="16" t="s">
        <v>104</v>
      </c>
      <c r="B20" s="16" t="s">
        <v>96</v>
      </c>
      <c r="C20" s="16" t="s">
        <v>97</v>
      </c>
      <c r="D20" s="16" t="s">
        <v>98</v>
      </c>
      <c r="E20" s="16" t="s">
        <v>99</v>
      </c>
      <c r="F20" s="6"/>
      <c r="H20" s="14"/>
    </row>
    <row r="21" spans="1:9" ht="17.100000000000001" customHeight="1" x14ac:dyDescent="0.25">
      <c r="A21" s="2" t="s">
        <v>8</v>
      </c>
      <c r="B21" s="22">
        <f>SUMIFS(HicRawData[Beds HH w/o Children],
HicRawData[Project Type],$I$2,
HicRawData[Inventory Type],"C",
HicRawData[Target Population],RRH_TargetPopulation[[#This Row],[Beds by Target Population]])</f>
        <v>2</v>
      </c>
      <c r="C21" s="22">
        <f>SUMIFS(HicRawData[Beds HH w/ Children],
HicRawData[Project Type],$I$2,
HicRawData[Inventory Type],"C",
HicRawData[Target Population],RRH_TargetPopulation[[#This Row],[Beds by Target Population]])</f>
        <v>27</v>
      </c>
      <c r="D21" s="22">
        <f>SUMIFS(HicRawData[Beds HH w/ only Children],
HicRawData[Project Type],$I$2,
HicRawData[Inventory Type],"C",
HicRawData[Target Population],RRH_TargetPopulation[[#This Row],[Beds by Target Population]])</f>
        <v>0</v>
      </c>
      <c r="E21" s="22">
        <f>SUM(RRH_TargetPopulation[[#This Row],[Households without Children]:[Households with only Children]])</f>
        <v>29</v>
      </c>
    </row>
    <row r="22" spans="1:9" ht="17.100000000000001" customHeight="1" x14ac:dyDescent="0.25">
      <c r="A22" s="2" t="s">
        <v>10</v>
      </c>
      <c r="B22" s="22">
        <f>SUMIFS(HicRawData[Beds HH w/o Children],
HicRawData[Project Type],$I$2,
HicRawData[Inventory Type],"C",
HicRawData[Target Population],RRH_TargetPopulation[[#This Row],[Beds by Target Population]])</f>
        <v>0</v>
      </c>
      <c r="C22" s="22">
        <f>SUMIFS(HicRawData[Beds HH w/ Children],
HicRawData[Project Type],$I$2,
HicRawData[Inventory Type],"C",
HicRawData[Target Population],RRH_TargetPopulation[[#This Row],[Beds by Target Population]])</f>
        <v>0</v>
      </c>
      <c r="D22" s="22">
        <f>SUMIFS(HicRawData[Beds HH w/ only Children],
HicRawData[Project Type],$I$2,
HicRawData[Inventory Type],"C",
HicRawData[Target Population],RRH_TargetPopulation[[#This Row],[Beds by Target Population]])</f>
        <v>0</v>
      </c>
      <c r="E22" s="22">
        <f>SUM(RRH_TargetPopulation[[#This Row],[Households without Children]:[Households with only Children]])</f>
        <v>0</v>
      </c>
    </row>
    <row r="23" spans="1:9" ht="17.100000000000001" customHeight="1" x14ac:dyDescent="0.25">
      <c r="A23" s="2" t="s">
        <v>0</v>
      </c>
      <c r="B23" s="22">
        <f>SUMIFS(HicRawData[Beds HH w/o Children],
HicRawData[Project Type],$I$2,
HicRawData[Inventory Type],"C",
HicRawData[Target Population],RRH_TargetPopulation[[#This Row],[Beds by Target Population]])</f>
        <v>24</v>
      </c>
      <c r="C23" s="22">
        <f>SUMIFS(HicRawData[Beds HH w/ Children],
HicRawData[Project Type],$I$2,
HicRawData[Inventory Type],"C",
HicRawData[Target Population],RRH_TargetPopulation[[#This Row],[Beds by Target Population]])</f>
        <v>35</v>
      </c>
      <c r="D23" s="22">
        <f>SUMIFS(HicRawData[Beds HH w/ only Children],
HicRawData[Project Type],$I$2,
HicRawData[Inventory Type],"C",
HicRawData[Target Population],RRH_TargetPopulation[[#This Row],[Beds by Target Population]])</f>
        <v>0</v>
      </c>
      <c r="E23" s="22">
        <f>SUM(RRH_TargetPopulation[[#This Row],[Households without Children]:[Households with only Children]])</f>
        <v>59</v>
      </c>
    </row>
    <row r="24" spans="1:9" ht="15" customHeight="1" x14ac:dyDescent="0.25">
      <c r="A24" s="2" t="s">
        <v>100</v>
      </c>
      <c r="B24" s="23">
        <f>SUBTOTAL(109,RRH_TargetPopulation[Households without Children])</f>
        <v>26</v>
      </c>
      <c r="C24" s="23">
        <f>SUBTOTAL(109,RRH_TargetPopulation[Households with Children])</f>
        <v>62</v>
      </c>
      <c r="D24" s="23">
        <f>SUBTOTAL(109,RRH_TargetPopulation[Households with only Children])</f>
        <v>0</v>
      </c>
      <c r="E24" s="23">
        <f>SUBTOTAL(109,RRH_TargetPopulation[Total Year-Round Beds])</f>
        <v>88</v>
      </c>
    </row>
    <row r="25" spans="1:9" ht="15" customHeight="1" x14ac:dyDescent="0.25">
      <c r="B25" s="22"/>
      <c r="C25" s="22"/>
      <c r="D25" s="22"/>
      <c r="E25" s="22"/>
    </row>
    <row r="26" spans="1:9" ht="72" customHeight="1" x14ac:dyDescent="0.25">
      <c r="A26" s="16" t="s">
        <v>103</v>
      </c>
      <c r="B26" s="16" t="s">
        <v>96</v>
      </c>
      <c r="C26" s="16" t="s">
        <v>97</v>
      </c>
      <c r="D26" s="16" t="s">
        <v>98</v>
      </c>
      <c r="E26" s="16" t="s">
        <v>99</v>
      </c>
      <c r="I26" s="31" t="s">
        <v>83</v>
      </c>
    </row>
    <row r="27" spans="1:9" ht="17.100000000000001" customHeight="1" x14ac:dyDescent="0.25">
      <c r="A27" s="2" t="s">
        <v>105</v>
      </c>
      <c r="B27" s="22">
        <f>SUMIFS(HicRawData[Beds HH w/o Children],
HicRawData[Project Type],$I$2,
HicRawData[Inventory Type],$I27)</f>
        <v>26</v>
      </c>
      <c r="C27" s="22">
        <f>SUMIFS(HicRawData[Beds HH w/ Children],
HicRawData[Project Type],$I$2,
HicRawData[Inventory Type],$I27)</f>
        <v>62</v>
      </c>
      <c r="D27" s="22">
        <f>SUMIFS(HicRawData[Beds HH w/ only Children],
HicRawData[Project Type],$I$2,
HicRawData[Inventory Type],$I27)</f>
        <v>0</v>
      </c>
      <c r="E27" s="22">
        <f>SUM(RRH_InventoryType[[#This Row],[Households without Children]:[Households with only Children]])</f>
        <v>88</v>
      </c>
      <c r="I27" s="31" t="s">
        <v>1</v>
      </c>
    </row>
    <row r="28" spans="1:9" ht="17.100000000000001" customHeight="1" x14ac:dyDescent="0.25">
      <c r="A28" s="2" t="s">
        <v>106</v>
      </c>
      <c r="B28" s="22">
        <f>SUMIFS(HicRawData[Beds HH w/o Children],
HicRawData[Project Type],$I$2,
HicRawData[Inventory Type],$I28)</f>
        <v>0</v>
      </c>
      <c r="C28" s="22">
        <f>SUMIFS(HicRawData[Beds HH w/ Children],
HicRawData[Project Type],$I$2,
HicRawData[Inventory Type],$I28)</f>
        <v>0</v>
      </c>
      <c r="D28" s="22">
        <f>SUMIFS(HicRawData[Beds HH w/ only Children],
HicRawData[Project Type],$I$2,
HicRawData[Inventory Type],$I28)</f>
        <v>0</v>
      </c>
      <c r="E28" s="22">
        <f>SUM(RRH_InventoryType[[#This Row],[Households without Children]:[Households with only Children]])</f>
        <v>0</v>
      </c>
      <c r="I28" s="31" t="s">
        <v>6</v>
      </c>
    </row>
    <row r="29" spans="1:9" ht="15" customHeight="1" x14ac:dyDescent="0.25">
      <c r="A29" s="2" t="s">
        <v>100</v>
      </c>
      <c r="B29" s="23">
        <f>SUBTOTAL(109,RRH_InventoryType[Households without Children])</f>
        <v>26</v>
      </c>
      <c r="C29" s="23">
        <f>SUBTOTAL(109,RRH_InventoryType[Households with Children])</f>
        <v>62</v>
      </c>
      <c r="D29" s="23">
        <f>SUBTOTAL(109,RRH_InventoryType[Households with only Children])</f>
        <v>0</v>
      </c>
      <c r="E29" s="23">
        <f>SUBTOTAL(109,RRH_InventoryType[Total Year-Round Beds])</f>
        <v>88</v>
      </c>
    </row>
    <row r="30" spans="1:9" ht="15" customHeight="1" x14ac:dyDescent="0.25">
      <c r="B30" s="23"/>
      <c r="C30" s="23"/>
      <c r="D30" s="23"/>
      <c r="E30" s="23"/>
    </row>
    <row r="31" spans="1:9" ht="72" customHeight="1" x14ac:dyDescent="0.25">
      <c r="A31"/>
      <c r="B31"/>
      <c r="C31"/>
      <c r="D31"/>
      <c r="E31"/>
      <c r="I31" s="31" t="s">
        <v>84</v>
      </c>
    </row>
    <row r="32" spans="1:9" ht="15" customHeight="1" x14ac:dyDescent="0.25">
      <c r="A32"/>
      <c r="B32"/>
      <c r="C32"/>
      <c r="D32"/>
      <c r="E32"/>
      <c r="I32" s="31" t="s">
        <v>9</v>
      </c>
    </row>
    <row r="33" spans="1:12" ht="15" customHeight="1" x14ac:dyDescent="0.25">
      <c r="A33"/>
      <c r="B33"/>
      <c r="C33"/>
      <c r="D33"/>
      <c r="E33"/>
      <c r="F33" s="23"/>
      <c r="I33" s="31" t="s">
        <v>12</v>
      </c>
      <c r="J33" s="3"/>
    </row>
    <row r="34" spans="1:12" ht="15" customHeight="1" x14ac:dyDescent="0.25">
      <c r="A34"/>
      <c r="B34"/>
      <c r="C34"/>
      <c r="D34"/>
      <c r="E34"/>
      <c r="F34" s="23"/>
      <c r="I34" s="31" t="s">
        <v>115</v>
      </c>
      <c r="J34" s="3"/>
    </row>
    <row r="35" spans="1:12" ht="15" customHeight="1" x14ac:dyDescent="0.25">
      <c r="A35"/>
      <c r="B35"/>
      <c r="C35"/>
      <c r="D35"/>
      <c r="E35"/>
    </row>
    <row r="36" spans="1:12" ht="15" customHeight="1" x14ac:dyDescent="0.25">
      <c r="B36" s="23"/>
      <c r="C36" s="23"/>
      <c r="D36" s="23"/>
      <c r="E36" s="23"/>
    </row>
    <row r="37" spans="1:12" ht="72" customHeight="1" x14ac:dyDescent="0.25">
      <c r="A37" s="16" t="s">
        <v>124</v>
      </c>
      <c r="B37" s="16" t="s">
        <v>96</v>
      </c>
      <c r="C37" s="16" t="s">
        <v>97</v>
      </c>
      <c r="D37" s="16" t="s">
        <v>98</v>
      </c>
      <c r="E37" s="16" t="s">
        <v>99</v>
      </c>
      <c r="F37" s="14"/>
    </row>
    <row r="38" spans="1:12" ht="17.100000000000001" customHeight="1" x14ac:dyDescent="0.25">
      <c r="A38" s="2" t="s">
        <v>3</v>
      </c>
      <c r="B38" s="22">
        <f>SUMIFS(HicRawData[Beds HH w/o Children],
HicRawData[Project Type],$I$2,
HicRawData[Inventory Type],"C",
HicRawData[Project Type], RRH_ProjectType[[#This Row],[All Beds by Project Type]])</f>
        <v>0</v>
      </c>
      <c r="C38" s="22">
        <f>SUMIFS(HicRawData[Beds HH w/ Children],
HicRawData[Project Type],$I$2,
HicRawData[Inventory Type],"C",
HicRawData[Project Type], RRH_ProjectType[[#This Row],[All Beds by Project Type]])</f>
        <v>0</v>
      </c>
      <c r="D38" s="22">
        <f>SUMIFS(HicRawData[Beds HH w/ only Children],
HicRawData[Project Type],$I$2,
HicRawData[Inventory Type],"C",
HicRawData[Project Type], RRH_ProjectType[[#This Row],[All Beds by Project Type]])</f>
        <v>0</v>
      </c>
      <c r="E38" s="22">
        <f>SUM(RRH_ProjectType[[#This Row],[Households without Children]:[Households with only Children]])</f>
        <v>0</v>
      </c>
    </row>
    <row r="39" spans="1:12" ht="17.100000000000001" customHeight="1" x14ac:dyDescent="0.25">
      <c r="A39" s="2" t="s">
        <v>2</v>
      </c>
      <c r="B39" s="22">
        <f>SUMIFS(HicRawData[Beds HH w/o Children],
HicRawData[Project Type],$I$2,
HicRawData[Inventory Type],"C",
HicRawData[Project Type], RRH_ProjectType[[#This Row],[All Beds by Project Type]])</f>
        <v>0</v>
      </c>
      <c r="C39" s="22">
        <f>SUMIFS(HicRawData[Beds HH w/ Children],
HicRawData[Project Type],$I$2,
HicRawData[Inventory Type],"C",
HicRawData[Project Type], RRH_ProjectType[[#This Row],[All Beds by Project Type]])</f>
        <v>0</v>
      </c>
      <c r="D39" s="22">
        <f>SUMIFS(HicRawData[Beds HH w/ only Children],
HicRawData[Project Type],$I$2,
HicRawData[Inventory Type],"C",
HicRawData[Project Type], RRH_ProjectType[[#This Row],[All Beds by Project Type]])</f>
        <v>0</v>
      </c>
      <c r="E39" s="22">
        <f>SUM(RRH_ProjectType[[#This Row],[Households without Children]:[Households with only Children]])</f>
        <v>0</v>
      </c>
      <c r="H39" s="6"/>
    </row>
    <row r="40" spans="1:12" ht="17.100000000000001" customHeight="1" x14ac:dyDescent="0.25">
      <c r="A40" s="2" t="s">
        <v>11</v>
      </c>
      <c r="B40" s="22">
        <f>SUMIFS(HicRawData[Beds HH w/o Children],
HicRawData[Project Type],$I$2,
HicRawData[Inventory Type],"C",
HicRawData[Project Type], RRH_ProjectType[[#This Row],[All Beds by Project Type]])</f>
        <v>0</v>
      </c>
      <c r="C40" s="22">
        <f>SUMIFS(HicRawData[Beds HH w/ Children],
HicRawData[Project Type],$I$2,
HicRawData[Inventory Type],"C",
HicRawData[Project Type], RRH_ProjectType[[#This Row],[All Beds by Project Type]])</f>
        <v>0</v>
      </c>
      <c r="D40" s="22">
        <f>SUMIFS(HicRawData[Beds HH w/ only Children],
HicRawData[Project Type],$I$2,
HicRawData[Inventory Type],"C",
HicRawData[Project Type], RRH_ProjectType[[#This Row],[All Beds by Project Type]])</f>
        <v>0</v>
      </c>
      <c r="E40" s="22">
        <f>SUM(RRH_ProjectType[[#This Row],[Households without Children]:[Households with only Children]])</f>
        <v>0</v>
      </c>
      <c r="H40" s="6"/>
    </row>
    <row r="41" spans="1:12" ht="17.100000000000001" customHeight="1" x14ac:dyDescent="0.25">
      <c r="A41" s="2" t="s">
        <v>4</v>
      </c>
      <c r="B41" s="22">
        <f>SUMIFS(HicRawData[Beds HH w/o Children],
HicRawData[Project Type],$I$2,
HicRawData[Inventory Type],"C",
HicRawData[Project Type], RRH_ProjectType[[#This Row],[All Beds by Project Type]])</f>
        <v>26</v>
      </c>
      <c r="C41" s="22">
        <f>SUMIFS(HicRawData[Beds HH w/ Children],
HicRawData[Project Type],$I$2,
HicRawData[Inventory Type],"C",
HicRawData[Project Type], RRH_ProjectType[[#This Row],[All Beds by Project Type]])</f>
        <v>62</v>
      </c>
      <c r="D41" s="22">
        <f>SUMIFS(HicRawData[Beds HH w/ only Children],
HicRawData[Project Type],$I$2,
HicRawData[Inventory Type],"C",
HicRawData[Project Type], RRH_ProjectType[[#This Row],[All Beds by Project Type]])</f>
        <v>0</v>
      </c>
      <c r="E41" s="22">
        <f>SUM(RRH_ProjectType[[#This Row],[Households without Children]:[Households with only Children]])</f>
        <v>88</v>
      </c>
    </row>
    <row r="42" spans="1:12" ht="17.100000000000001" customHeight="1" x14ac:dyDescent="0.25">
      <c r="A42" s="2" t="s">
        <v>5</v>
      </c>
      <c r="B42" s="22">
        <f>SUMIFS(HicRawData[Beds HH w/o Children],
HicRawData[Project Type],$I$2,
HicRawData[Inventory Type],"C",
HicRawData[Project Type], RRH_ProjectType[[#This Row],[All Beds by Project Type]])</f>
        <v>0</v>
      </c>
      <c r="C42" s="22">
        <f>SUMIFS(HicRawData[Beds HH w/ Children],
HicRawData[Project Type],$I$2,
HicRawData[Inventory Type],"C",
HicRawData[Project Type], RRH_ProjectType[[#This Row],[All Beds by Project Type]])</f>
        <v>0</v>
      </c>
      <c r="D42" s="22">
        <f>SUMIFS(HicRawData[Beds HH w/ only Children],
HicRawData[Project Type],$I$2,
HicRawData[Inventory Type],"C",
HicRawData[Project Type], RRH_ProjectType[[#This Row],[All Beds by Project Type]])</f>
        <v>0</v>
      </c>
      <c r="E42" s="22">
        <f>SUM(RRH_ProjectType[[#This Row],[Households without Children]:[Households with only Children]])</f>
        <v>0</v>
      </c>
    </row>
    <row r="43" spans="1:12" ht="17.100000000000001" customHeight="1" x14ac:dyDescent="0.25">
      <c r="A43" s="2" t="s">
        <v>7</v>
      </c>
      <c r="B43" s="22">
        <f>SUMIFS(HicRawData[Beds HH w/o Children],
HicRawData[Project Type],$I$2,
HicRawData[Inventory Type],"C",
HicRawData[Project Type], RRH_ProjectType[[#This Row],[All Beds by Project Type]])</f>
        <v>0</v>
      </c>
      <c r="C43" s="22">
        <f>SUMIFS(HicRawData[Beds HH w/ Children],
HicRawData[Project Type],$I$2,
HicRawData[Inventory Type],"C",
HicRawData[Project Type], RRH_ProjectType[[#This Row],[All Beds by Project Type]])</f>
        <v>0</v>
      </c>
      <c r="D43" s="22">
        <f>SUMIFS(HicRawData[Beds HH w/ only Children],
HicRawData[Project Type],$I$2,
HicRawData[Inventory Type],"C",
HicRawData[Project Type], RRH_ProjectType[[#This Row],[All Beds by Project Type]])</f>
        <v>0</v>
      </c>
      <c r="E43" s="22">
        <f>SUM(RRH_ProjectType[[#This Row],[Households without Children]:[Households with only Children]])</f>
        <v>0</v>
      </c>
    </row>
    <row r="44" spans="1:12" ht="15" customHeight="1" x14ac:dyDescent="0.25">
      <c r="A44" s="2" t="s">
        <v>100</v>
      </c>
      <c r="B44" s="23">
        <f>SUBTOTAL(109,RRH_ProjectType[Households without Children])</f>
        <v>26</v>
      </c>
      <c r="C44" s="23">
        <f>SUBTOTAL(109,RRH_ProjectType[Households with Children])</f>
        <v>62</v>
      </c>
      <c r="D44" s="23">
        <f>SUBTOTAL(109,RRH_ProjectType[Households with only Children])</f>
        <v>0</v>
      </c>
      <c r="E44" s="23">
        <f>SUBTOTAL(109,RRH_ProjectType[Total Year-Round Beds])</f>
        <v>88</v>
      </c>
    </row>
    <row r="45" spans="1:12" ht="15" customHeight="1" x14ac:dyDescent="0.25">
      <c r="B45" s="23"/>
      <c r="C45" s="23"/>
      <c r="D45" s="23"/>
      <c r="E45" s="23"/>
    </row>
    <row r="46" spans="1:12" ht="72" customHeight="1" x14ac:dyDescent="0.25">
      <c r="A46" s="16" t="s">
        <v>125</v>
      </c>
      <c r="B46" s="16" t="s">
        <v>96</v>
      </c>
      <c r="C46" s="16" t="s">
        <v>97</v>
      </c>
      <c r="D46" s="16" t="s">
        <v>98</v>
      </c>
      <c r="E46" s="16" t="s">
        <v>99</v>
      </c>
      <c r="J46" s="12"/>
      <c r="K46" s="12"/>
      <c r="L46" s="12"/>
    </row>
    <row r="47" spans="1:12" ht="17.100000000000001" customHeight="1" x14ac:dyDescent="0.25">
      <c r="A47" s="2" t="s">
        <v>3</v>
      </c>
      <c r="B47" s="22">
        <f>SUMIFS(HicRawData[Beds HH w/o Children],
HicRawData[Project Type],$I$2,
HicRawData[Inventory Type],"C",
HicRawData[Project Type], RRH_ProjectTypeHmisParticipation[[#This Row],[HMIS Beds by Project Type]],
HicRawData[HMIS Participating], "Yes")</f>
        <v>0</v>
      </c>
      <c r="C47" s="22">
        <f>SUMIFS(HicRawData[Beds HH w/ Children],
HicRawData[Project Type],$I$2,
HicRawData[Inventory Type],"C",
HicRawData[Project Type], RRH_ProjectTypeHmisParticipation[[#This Row],[HMIS Beds by Project Type]],
HicRawData[HMIS Participating], "Yes")</f>
        <v>0</v>
      </c>
      <c r="D47" s="22">
        <f>SUMIFS(HicRawData[Beds HH w/ only Children],
HicRawData[Project Type],$I$2,
HicRawData[Inventory Type],"C",
HicRawData[Project Type], RRH_ProjectTypeHmisParticipation[[#This Row],[HMIS Beds by Project Type]],
HicRawData[HMIS Participating], "Yes")</f>
        <v>0</v>
      </c>
      <c r="E47" s="21">
        <f>B47+C47+D47</f>
        <v>0</v>
      </c>
    </row>
    <row r="48" spans="1:12" ht="17.100000000000001" customHeight="1" x14ac:dyDescent="0.25">
      <c r="A48" s="2" t="s">
        <v>2</v>
      </c>
      <c r="B48" s="21">
        <f>SUMIFS(HicRawData[Beds HH w/o Children],
HicRawData[Project Type],$I$2,
HicRawData[Inventory Type],"C",
HicRawData[Project Type], RRH_ProjectTypeHmisParticipation[[#This Row],[HMIS Beds by Project Type]],
HicRawData[HMIS Participating], "Yes")</f>
        <v>0</v>
      </c>
      <c r="C48" s="21">
        <f>SUMIFS(HicRawData[Beds HH w/ Children],
HicRawData[Project Type],$I$2,
HicRawData[Inventory Type],"C",
HicRawData[Project Type], RRH_ProjectTypeHmisParticipation[[#This Row],[HMIS Beds by Project Type]],
HicRawData[HMIS Participating], "Yes")</f>
        <v>0</v>
      </c>
      <c r="D48" s="21">
        <f>SUMIFS(HicRawData[Beds HH w/ only Children],
HicRawData[Project Type],$I$2,
HicRawData[Inventory Type],"C",
HicRawData[Project Type], RRH_ProjectTypeHmisParticipation[[#This Row],[HMIS Beds by Project Type]],
HicRawData[HMIS Participating], "Yes")</f>
        <v>0</v>
      </c>
      <c r="E48" s="21">
        <f t="shared" ref="E48:E52" si="0">B48+C48+D48</f>
        <v>0</v>
      </c>
    </row>
    <row r="49" spans="1:5" ht="17.100000000000001" customHeight="1" x14ac:dyDescent="0.25">
      <c r="A49" s="2" t="s">
        <v>11</v>
      </c>
      <c r="B49" s="21">
        <f>SUMIFS(HicRawData[Beds HH w/o Children],
HicRawData[Project Type],$I$2,
HicRawData[Inventory Type],"C",
HicRawData[Project Type], RRH_ProjectTypeHmisParticipation[[#This Row],[HMIS Beds by Project Type]],
HicRawData[HMIS Participating], "Yes")</f>
        <v>0</v>
      </c>
      <c r="C49" s="21">
        <f>SUMIFS(HicRawData[Beds HH w/ Children],
HicRawData[Project Type],$I$2,
HicRawData[Inventory Type],"C",
HicRawData[Project Type], RRH_ProjectTypeHmisParticipation[[#This Row],[HMIS Beds by Project Type]],
HicRawData[HMIS Participating], "Yes")</f>
        <v>0</v>
      </c>
      <c r="D49" s="21">
        <f>SUMIFS(HicRawData[Beds HH w/ only Children],
HicRawData[Project Type],$I$2,
HicRawData[Inventory Type],"C",
HicRawData[Project Type], RRH_ProjectTypeHmisParticipation[[#This Row],[HMIS Beds by Project Type]],
HicRawData[HMIS Participating], "Yes")</f>
        <v>0</v>
      </c>
      <c r="E49" s="21">
        <f t="shared" si="0"/>
        <v>0</v>
      </c>
    </row>
    <row r="50" spans="1:5" ht="17.100000000000001" customHeight="1" x14ac:dyDescent="0.25">
      <c r="A50" s="2" t="s">
        <v>4</v>
      </c>
      <c r="B50" s="21">
        <f>SUMIFS(HicRawData[Beds HH w/o Children],
HicRawData[Project Type],$I$2,
HicRawData[Inventory Type],"C",
HicRawData[Project Type], RRH_ProjectTypeHmisParticipation[[#This Row],[HMIS Beds by Project Type]],
HicRawData[HMIS Participating], "Yes")</f>
        <v>10</v>
      </c>
      <c r="C50" s="21">
        <f>SUMIFS(HicRawData[Beds HH w/ Children],
HicRawData[Project Type],$I$2,
HicRawData[Inventory Type],"C",
HicRawData[Project Type], RRH_ProjectTypeHmisParticipation[[#This Row],[HMIS Beds by Project Type]],
HicRawData[HMIS Participating], "Yes")</f>
        <v>28</v>
      </c>
      <c r="D50" s="21">
        <f>SUMIFS(HicRawData[Beds HH w/ only Children],
HicRawData[Project Type],$I$2,
HicRawData[Inventory Type],"C",
HicRawData[Project Type], RRH_ProjectTypeHmisParticipation[[#This Row],[HMIS Beds by Project Type]],
HicRawData[HMIS Participating], "Yes")</f>
        <v>0</v>
      </c>
      <c r="E50" s="21">
        <f t="shared" si="0"/>
        <v>38</v>
      </c>
    </row>
    <row r="51" spans="1:5" ht="17.100000000000001" customHeight="1" x14ac:dyDescent="0.25">
      <c r="A51" s="2" t="s">
        <v>5</v>
      </c>
      <c r="B51" s="21">
        <f>SUMIFS(HicRawData[Beds HH w/o Children],
HicRawData[Project Type],$I$2,
HicRawData[Inventory Type],"C",
HicRawData[Project Type], RRH_ProjectTypeHmisParticipation[[#This Row],[HMIS Beds by Project Type]],
HicRawData[HMIS Participating], "Yes")</f>
        <v>0</v>
      </c>
      <c r="C51" s="21">
        <f>SUMIFS(HicRawData[Beds HH w/ Children],
HicRawData[Project Type],$I$2,
HicRawData[Inventory Type],"C",
HicRawData[Project Type], RRH_ProjectTypeHmisParticipation[[#This Row],[HMIS Beds by Project Type]],
HicRawData[HMIS Participating], "Yes")</f>
        <v>0</v>
      </c>
      <c r="D51" s="21">
        <f>SUMIFS(HicRawData[Beds HH w/ only Children],
HicRawData[Project Type],$I$2,
HicRawData[Inventory Type],"C",
HicRawData[Project Type], RRH_ProjectTypeHmisParticipation[[#This Row],[HMIS Beds by Project Type]],
HicRawData[HMIS Participating], "Yes")</f>
        <v>0</v>
      </c>
      <c r="E51" s="21">
        <f t="shared" si="0"/>
        <v>0</v>
      </c>
    </row>
    <row r="52" spans="1:5" ht="17.100000000000001" customHeight="1" x14ac:dyDescent="0.25">
      <c r="A52" s="2" t="s">
        <v>7</v>
      </c>
      <c r="B52" s="21">
        <f>SUMIFS(HicRawData[Beds HH w/o Children],
HicRawData[Project Type],$I$2,
HicRawData[Inventory Type],"C",
HicRawData[Project Type], RRH_ProjectTypeHmisParticipation[[#This Row],[HMIS Beds by Project Type]],
HicRawData[HMIS Participating], "Yes")</f>
        <v>0</v>
      </c>
      <c r="C52" s="21">
        <f>SUMIFS(HicRawData[Beds HH w/ Children],
HicRawData[Project Type],$I$2,
HicRawData[Inventory Type],"C",
HicRawData[Project Type], RRH_ProjectTypeHmisParticipation[[#This Row],[HMIS Beds by Project Type]],
HicRawData[HMIS Participating], "Yes")</f>
        <v>0</v>
      </c>
      <c r="D52" s="21">
        <f>SUMIFS(HicRawData[Beds HH w/ only Children],
HicRawData[Project Type],$I$2,
HicRawData[Inventory Type],"C",
HicRawData[Project Type], RRH_ProjectTypeHmisParticipation[[#This Row],[HMIS Beds by Project Type]],
HicRawData[HMIS Participating], "Yes")</f>
        <v>0</v>
      </c>
      <c r="E52" s="21">
        <f t="shared" si="0"/>
        <v>0</v>
      </c>
    </row>
    <row r="53" spans="1:5" x14ac:dyDescent="0.25">
      <c r="A53" s="2" t="s">
        <v>100</v>
      </c>
      <c r="B53" s="24">
        <f>SUBTOTAL(109,RRH_ProjectTypeHmisParticipation[Households without Children])</f>
        <v>10</v>
      </c>
      <c r="C53" s="24">
        <f>SUBTOTAL(109,RRH_ProjectTypeHmisParticipation[Households with Children])</f>
        <v>28</v>
      </c>
      <c r="D53" s="24">
        <f>SUBTOTAL(109,RRH_ProjectTypeHmisParticipation[Households with only Children])</f>
        <v>0</v>
      </c>
      <c r="E53" s="21">
        <f>SUBTOTAL(109,RRH_ProjectTypeHmisParticipation[Total Year-Round Beds])</f>
        <v>38</v>
      </c>
    </row>
    <row r="54" spans="1:5" x14ac:dyDescent="0.25"/>
    <row r="55" spans="1:5" x14ac:dyDescent="0.25"/>
    <row r="56" spans="1:5" x14ac:dyDescent="0.25"/>
    <row r="57" spans="1:5" x14ac:dyDescent="0.25"/>
    <row r="58" spans="1:5" x14ac:dyDescent="0.25"/>
    <row r="59" spans="1:5" x14ac:dyDescent="0.25">
      <c r="A59" s="6"/>
      <c r="B59" s="7"/>
      <c r="C59" s="7"/>
      <c r="D59" s="7"/>
      <c r="E59" s="7"/>
    </row>
    <row r="60" spans="1:5" x14ac:dyDescent="0.25">
      <c r="A60" s="10"/>
      <c r="B60" s="11"/>
    </row>
    <row r="61" spans="1:5" x14ac:dyDescent="0.25">
      <c r="A61" s="10"/>
      <c r="B61" s="11"/>
    </row>
    <row r="62" spans="1:5" x14ac:dyDescent="0.25">
      <c r="A62" s="10"/>
      <c r="B62" s="11"/>
    </row>
    <row r="63" spans="1:5" x14ac:dyDescent="0.25">
      <c r="A63" s="10"/>
      <c r="B63" s="11"/>
    </row>
    <row r="64" spans="1:5" x14ac:dyDescent="0.25">
      <c r="A64" s="10"/>
    </row>
    <row r="65" spans="1:5" x14ac:dyDescent="0.25">
      <c r="A65" s="10"/>
    </row>
    <row r="66" spans="1:5" x14ac:dyDescent="0.25">
      <c r="A66" s="10"/>
    </row>
    <row r="67" spans="1:5" x14ac:dyDescent="0.25">
      <c r="A67" s="11"/>
      <c r="E67" s="12"/>
    </row>
    <row r="68" spans="1:5" x14ac:dyDescent="0.25">
      <c r="A68" s="10"/>
    </row>
    <row r="69" spans="1:5" x14ac:dyDescent="0.25"/>
    <row r="70" spans="1:5" x14ac:dyDescent="0.25">
      <c r="A70" s="11"/>
    </row>
    <row r="71" spans="1:5" x14ac:dyDescent="0.25">
      <c r="A71" s="13"/>
    </row>
    <row r="72" spans="1:5" x14ac:dyDescent="0.25">
      <c r="A72" s="11"/>
    </row>
    <row r="73" spans="1:5" x14ac:dyDescent="0.25">
      <c r="A73" s="11"/>
    </row>
    <row r="74" spans="1:5" hidden="1" x14ac:dyDescent="0.25">
      <c r="A74" s="11"/>
    </row>
    <row r="75" spans="1:5" hidden="1" x14ac:dyDescent="0.25">
      <c r="A75" s="11"/>
    </row>
    <row r="76" spans="1:5" hidden="1" x14ac:dyDescent="0.25">
      <c r="A76" s="11"/>
    </row>
    <row r="77" spans="1:5" hidden="1" x14ac:dyDescent="0.25">
      <c r="A77" s="11"/>
    </row>
    <row r="81" spans="1:1" hidden="1" x14ac:dyDescent="0.25">
      <c r="A81" s="14"/>
    </row>
    <row r="82" spans="1:1" hidden="1" x14ac:dyDescent="0.25">
      <c r="A82" s="6"/>
    </row>
    <row r="83" spans="1:1" hidden="1" x14ac:dyDescent="0.25">
      <c r="A83" s="11"/>
    </row>
    <row r="84" spans="1:1" hidden="1" x14ac:dyDescent="0.25">
      <c r="A84" s="11"/>
    </row>
    <row r="85" spans="1:1" hidden="1" x14ac:dyDescent="0.25">
      <c r="A85" s="11"/>
    </row>
    <row r="86" spans="1:1" hidden="1" x14ac:dyDescent="0.25">
      <c r="A86" s="11"/>
    </row>
    <row r="87" spans="1:1" hidden="1" x14ac:dyDescent="0.25">
      <c r="A87" s="11"/>
    </row>
    <row r="88" spans="1:1" hidden="1" x14ac:dyDescent="0.25">
      <c r="A88" s="11"/>
    </row>
    <row r="89" spans="1:1" hidden="1" x14ac:dyDescent="0.25">
      <c r="A89" s="13"/>
    </row>
    <row r="90" spans="1:1" hidden="1" x14ac:dyDescent="0.25">
      <c r="A90" s="11"/>
    </row>
    <row r="91" spans="1:1" hidden="1" x14ac:dyDescent="0.25">
      <c r="A91" s="13"/>
    </row>
    <row r="92" spans="1:1" hidden="1" x14ac:dyDescent="0.25">
      <c r="A92" s="11"/>
    </row>
    <row r="93" spans="1:1" hidden="1" x14ac:dyDescent="0.25">
      <c r="A93" s="11"/>
    </row>
    <row r="94" spans="1:1" hidden="1" x14ac:dyDescent="0.25">
      <c r="A94" s="11"/>
    </row>
    <row r="95" spans="1:1" hidden="1" x14ac:dyDescent="0.25">
      <c r="A95" s="11"/>
    </row>
    <row r="96" spans="1:1" hidden="1" x14ac:dyDescent="0.25">
      <c r="A96" s="11"/>
    </row>
    <row r="97" spans="1:1" hidden="1" x14ac:dyDescent="0.25">
      <c r="A97" s="11"/>
    </row>
  </sheetData>
  <sheetProtection algorithmName="SHA-512" hashValue="qUTUntt2HkJq5yu53pejaVAeKvWwCgJ+VWSdOJTDOv8+S7Se3zHNP8tIHwMUqPa9SKtI7YfsLuTYc2hFxIwo9w==" saltValue="e/OVv1rUkIfwdxhFvZdwVg==" spinCount="100000" sheet="1" objects="1" scenarios="1"/>
  <conditionalFormatting sqref="A4:G4">
    <cfRule type="expression" dxfId="109" priority="1">
      <formula>$A$4="PASTE DATA INTO THE 'HICRawData' TAB TO POPULATE THIS TEMPLATE."</formula>
    </cfRule>
  </conditionalFormatting>
  <pageMargins left="0.25" right="0.25" top="0.75" bottom="0.75" header="0.3" footer="0.3"/>
  <pageSetup orientation="landscape" r:id="rId1"/>
  <rowBreaks count="3" manualBreakCount="3">
    <brk id="19" max="6" man="1"/>
    <brk id="36" max="6" man="1"/>
    <brk id="53" max="6" man="1"/>
  </rowBreaks>
  <drawing r:id="rId2"/>
  <tableParts count="6">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FD19B331B6154F98DDF9D6E590EC91" ma:contentTypeVersion="17" ma:contentTypeDescription="Create a new document." ma:contentTypeScope="" ma:versionID="c39676000deda965a711f101ed4f2b19">
  <xsd:schema xmlns:xsd="http://www.w3.org/2001/XMLSchema" xmlns:xs="http://www.w3.org/2001/XMLSchema" xmlns:p="http://schemas.microsoft.com/office/2006/metadata/properties" xmlns:ns2="6cfad6c9-0d8a-4f08-b363-fe79249bc20d" xmlns:ns3="e422c799-4dbb-4704-9bc4-2b14a9e15e06" targetNamespace="http://schemas.microsoft.com/office/2006/metadata/properties" ma:root="true" ma:fieldsID="e76ffdf36258d13fdedd88a4e15d94a5" ns2:_="" ns3:_="">
    <xsd:import namespace="6cfad6c9-0d8a-4f08-b363-fe79249bc20d"/>
    <xsd:import namespace="e422c799-4dbb-4704-9bc4-2b14a9e15e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fad6c9-0d8a-4f08-b363-fe79249bc2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654925c-3bd7-4187-ab31-e932ed5cd6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22c799-4dbb-4704-9bc4-2b14a9e15e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ea22de-b79c-4d58-80b6-8c144d47058a}" ma:internalName="TaxCatchAll" ma:showField="CatchAllData" ma:web="e422c799-4dbb-4704-9bc4-2b14a9e15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cfad6c9-0d8a-4f08-b363-fe79249bc20d">
      <Terms xmlns="http://schemas.microsoft.com/office/infopath/2007/PartnerControls"/>
    </lcf76f155ced4ddcb4097134ff3c332f>
    <TaxCatchAll xmlns="e422c799-4dbb-4704-9bc4-2b14a9e15e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4862D5-92F9-4E74-B45F-98EFAC29F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fad6c9-0d8a-4f08-b363-fe79249bc20d"/>
    <ds:schemaRef ds:uri="e422c799-4dbb-4704-9bc4-2b14a9e15e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DBA76A-5B95-49CC-A18D-BFF893F802F2}">
  <ds:schemaRefs>
    <ds:schemaRef ds:uri="http://schemas.microsoft.com/office/2006/documentManagement/types"/>
    <ds:schemaRef ds:uri="http://purl.org/dc/dcmitype/"/>
    <ds:schemaRef ds:uri="http://www.w3.org/XML/1998/namespace"/>
    <ds:schemaRef ds:uri="http://purl.org/dc/terms/"/>
    <ds:schemaRef ds:uri="http://purl.org/dc/elements/1.1/"/>
    <ds:schemaRef ds:uri="6cfad6c9-0d8a-4f08-b363-fe79249bc20d"/>
    <ds:schemaRef ds:uri="http://schemas.microsoft.com/office/2006/metadata/properties"/>
    <ds:schemaRef ds:uri="http://schemas.microsoft.com/office/infopath/2007/PartnerControls"/>
    <ds:schemaRef ds:uri="http://schemas.openxmlformats.org/package/2006/metadata/core-properties"/>
    <ds:schemaRef ds:uri="e422c799-4dbb-4704-9bc4-2b14a9e15e06"/>
  </ds:schemaRefs>
</ds:datastoreItem>
</file>

<file path=customXml/itemProps3.xml><?xml version="1.0" encoding="utf-8"?>
<ds:datastoreItem xmlns:ds="http://schemas.openxmlformats.org/officeDocument/2006/customXml" ds:itemID="{5E0F2537-FF26-4CD3-BA49-7855C3B44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29</vt:i4>
      </vt:variant>
    </vt:vector>
  </HeadingPairs>
  <TitlesOfParts>
    <vt:vector size="42" baseType="lpstr">
      <vt:lpstr>README</vt:lpstr>
      <vt:lpstr>HicRawData</vt:lpstr>
      <vt:lpstr>AllBeds</vt:lpstr>
      <vt:lpstr>ES</vt:lpstr>
      <vt:lpstr>TH</vt:lpstr>
      <vt:lpstr>SH</vt:lpstr>
      <vt:lpstr>PSH</vt:lpstr>
      <vt:lpstr>OPH</vt:lpstr>
      <vt:lpstr>RRH</vt:lpstr>
      <vt:lpstr>Chronic</vt:lpstr>
      <vt:lpstr>Vets</vt:lpstr>
      <vt:lpstr>Youth</vt:lpstr>
      <vt:lpstr>DO_NOT_EDIT</vt:lpstr>
      <vt:lpstr>CoC</vt:lpstr>
      <vt:lpstr>HeadingLine2</vt:lpstr>
      <vt:lpstr>HeadingLine3</vt:lpstr>
      <vt:lpstr>HIC_Date</vt:lpstr>
      <vt:lpstr>HudNum</vt:lpstr>
      <vt:lpstr>AllBeds!Print_Area</vt:lpstr>
      <vt:lpstr>Chronic!Print_Area</vt:lpstr>
      <vt:lpstr>ES!Print_Area</vt:lpstr>
      <vt:lpstr>HicRawData!Print_Area</vt:lpstr>
      <vt:lpstr>OPH!Print_Area</vt:lpstr>
      <vt:lpstr>PSH!Print_Area</vt:lpstr>
      <vt:lpstr>README!Print_Area</vt:lpstr>
      <vt:lpstr>RRH!Print_Area</vt:lpstr>
      <vt:lpstr>SH!Print_Area</vt:lpstr>
      <vt:lpstr>TH!Print_Area</vt:lpstr>
      <vt:lpstr>Vets!Print_Area</vt:lpstr>
      <vt:lpstr>Youth!Print_Area</vt:lpstr>
      <vt:lpstr>AllBeds!Print_Titles</vt:lpstr>
      <vt:lpstr>Chronic!Print_Titles</vt:lpstr>
      <vt:lpstr>ES!Print_Titles</vt:lpstr>
      <vt:lpstr>OPH!Print_Titles</vt:lpstr>
      <vt:lpstr>PSH!Print_Titles</vt:lpstr>
      <vt:lpstr>RRH!Print_Titles</vt:lpstr>
      <vt:lpstr>SH!Print_Titles</vt:lpstr>
      <vt:lpstr>TH!Print_Titles</vt:lpstr>
      <vt:lpstr>Vets!Print_Titles</vt:lpstr>
      <vt:lpstr>Youth!Print_Titles</vt:lpstr>
      <vt:lpstr>show_heading_section</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2025-04-09T01:54:52Z</dcterms:created>
  <dcterms:modified xsi:type="dcterms:W3CDTF">2025-06-09T15:57:21Z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0x010100F5FD19B331B6154F98DDF9D6E590EC91</vt:lpwstr>
  </property>
</Properties>
</file>