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sfiles\dss\Sudley\Homeless Services\Homeless Services Division\Administrative\FY26\Grants\HUD\FY26 HUD NOFO\Renewal Projects\"/>
    </mc:Choice>
  </mc:AlternateContent>
  <xr:revisionPtr revIDLastSave="0" documentId="13_ncr:1_{2DDC50D2-ED45-4651-B9D6-CAD432A1EA3C}" xr6:coauthVersionLast="47" xr6:coauthVersionMax="47" xr10:uidLastSave="{00000000-0000-0000-0000-000000000000}"/>
  <bookViews>
    <workbookView xWindow="28680" yWindow="-120" windowWidth="29040" windowHeight="15720" tabRatio="761" activeTab="1" xr2:uid="{5EF95487-D403-4811-BD04-B5F4F7C3C7B1}"/>
  </bookViews>
  <sheets>
    <sheet name="Instructions" sheetId="18" r:id="rId1"/>
    <sheet name="Standards" sheetId="23" r:id="rId2"/>
    <sheet name="Calculations" sheetId="24" r:id="rId3"/>
    <sheet name="Measure Types" sheetId="25" r:id="rId4"/>
    <sheet name="PSH Project Report" sheetId="2" r:id="rId5"/>
    <sheet name="RRH Project Report" sheetId="17" r:id="rId6"/>
    <sheet name="Summary Report" sheetId="10" r:id="rId7"/>
    <sheet name="Scoring Calculator" sheetId="15" r:id="rId8"/>
    <sheet name="Raw Project Data" sheetId="13" r:id="rId9"/>
    <sheet name="Example Shell Tables" sheetId="14" r:id="rId10"/>
    <sheet name="vlookup- do not delete" sheetId="16" r:id="rId11"/>
  </sheets>
  <definedNames>
    <definedName name="_xlnm._FilterDatabase" localSheetId="10" hidden="1">'vlookup- do not delete'!$A$1:$D$1</definedName>
    <definedName name="_xlnm.Print_Area" localSheetId="9">'Example Shell Tables'!$A$1:$J$261</definedName>
    <definedName name="_xlnm.Print_Area" localSheetId="4">'PSH Project Report'!$A$2:$M$58</definedName>
    <definedName name="_xlnm.Print_Area" localSheetId="5">'RRH Project Report'!$A$2:$M$59</definedName>
    <definedName name="_xlnm.Print_Titles" localSheetId="9">'Example Shell Tables'!$1:$1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5" l="1"/>
  <c r="P6" i="15" l="1"/>
  <c r="AO6" i="15" s="1"/>
  <c r="P7" i="15"/>
  <c r="AO7" i="15" s="1"/>
  <c r="P8" i="15"/>
  <c r="AO8" i="15" s="1"/>
  <c r="P9" i="15"/>
  <c r="AO9" i="15" s="1"/>
  <c r="P10" i="15"/>
  <c r="AO10" i="15" s="1"/>
  <c r="P11" i="15"/>
  <c r="AO11" i="15" s="1"/>
  <c r="P5" i="15"/>
  <c r="AO5" i="15" s="1"/>
  <c r="D6" i="15"/>
  <c r="D7" i="15"/>
  <c r="D8" i="15"/>
  <c r="D9" i="15"/>
  <c r="D10" i="15"/>
  <c r="D11" i="15"/>
  <c r="D5" i="15"/>
  <c r="M11" i="15"/>
  <c r="M10" i="15"/>
  <c r="M9" i="15"/>
  <c r="M8" i="15"/>
  <c r="M7" i="15"/>
  <c r="M6" i="15"/>
  <c r="M5" i="15"/>
  <c r="D4" i="10" l="1"/>
  <c r="D5" i="10"/>
  <c r="D6" i="10"/>
  <c r="D7" i="10"/>
  <c r="D8" i="10"/>
  <c r="B5" i="10"/>
  <c r="B6" i="10"/>
  <c r="B7" i="10"/>
  <c r="B8" i="10"/>
  <c r="C4" i="10"/>
  <c r="C5" i="10"/>
  <c r="C6" i="10"/>
  <c r="C7" i="10"/>
  <c r="C8" i="10"/>
  <c r="B4" i="10"/>
  <c r="E5" i="10"/>
  <c r="F5" i="10"/>
  <c r="G5" i="10"/>
  <c r="E6" i="10"/>
  <c r="F6" i="10"/>
  <c r="G6" i="10"/>
  <c r="E7" i="10"/>
  <c r="F7" i="10"/>
  <c r="G7" i="10"/>
  <c r="E8" i="10"/>
  <c r="F8" i="10"/>
  <c r="G8" i="10"/>
  <c r="F4" i="10"/>
  <c r="G4" i="10"/>
  <c r="E4" i="10"/>
  <c r="AI6" i="15"/>
  <c r="BH6" i="15" s="1"/>
  <c r="AI7" i="15"/>
  <c r="BH7" i="15" s="1"/>
  <c r="AI8" i="15"/>
  <c r="BH8" i="15" s="1"/>
  <c r="AI9" i="15"/>
  <c r="BH9" i="15" s="1"/>
  <c r="AI10" i="15"/>
  <c r="BH10" i="15" s="1"/>
  <c r="AI11" i="15"/>
  <c r="BH11" i="15" s="1"/>
  <c r="AI5" i="15"/>
  <c r="AH6" i="15"/>
  <c r="BG6" i="15" s="1"/>
  <c r="AH7" i="15"/>
  <c r="BG7" i="15" s="1"/>
  <c r="AH8" i="15"/>
  <c r="BG8" i="15" s="1"/>
  <c r="AH9" i="15"/>
  <c r="BG9" i="15" s="1"/>
  <c r="AH10" i="15"/>
  <c r="BG10" i="15" s="1"/>
  <c r="AH11" i="15"/>
  <c r="BG11" i="15" s="1"/>
  <c r="AH5" i="15"/>
  <c r="AG6" i="15"/>
  <c r="BF6" i="15" s="1"/>
  <c r="AG7" i="15"/>
  <c r="BF7" i="15" s="1"/>
  <c r="AG8" i="15"/>
  <c r="BF8" i="15" s="1"/>
  <c r="AG9" i="15"/>
  <c r="BF9" i="15" s="1"/>
  <c r="AG10" i="15"/>
  <c r="BF10" i="15" s="1"/>
  <c r="AG11" i="15"/>
  <c r="BF11" i="15" s="1"/>
  <c r="AG5" i="15"/>
  <c r="AF6" i="15"/>
  <c r="BE6" i="15" s="1"/>
  <c r="AF7" i="15"/>
  <c r="BE7" i="15" s="1"/>
  <c r="AF8" i="15"/>
  <c r="BE8" i="15" s="1"/>
  <c r="AF9" i="15"/>
  <c r="BE9" i="15" s="1"/>
  <c r="AF10" i="15"/>
  <c r="BE10" i="15" s="1"/>
  <c r="AF11" i="15"/>
  <c r="BE11" i="15" s="1"/>
  <c r="AF5" i="15"/>
  <c r="AE6" i="15"/>
  <c r="BD6" i="15" s="1"/>
  <c r="AE7" i="15"/>
  <c r="BD7" i="15" s="1"/>
  <c r="J7" i="15" s="1"/>
  <c r="AE8" i="15"/>
  <c r="BD8" i="15" s="1"/>
  <c r="AE9" i="15"/>
  <c r="BD9" i="15" s="1"/>
  <c r="AE10" i="15"/>
  <c r="BD10" i="15" s="1"/>
  <c r="AE11" i="15"/>
  <c r="BD11" i="15" s="1"/>
  <c r="AE5" i="15"/>
  <c r="AD6" i="15"/>
  <c r="AD7" i="15"/>
  <c r="BC7" i="15" s="1"/>
  <c r="CB7" i="15" s="1"/>
  <c r="AD8" i="15"/>
  <c r="BC8" i="15" s="1"/>
  <c r="CB8" i="15" s="1"/>
  <c r="AD9" i="15"/>
  <c r="BC9" i="15" s="1"/>
  <c r="CB9" i="15" s="1"/>
  <c r="AD10" i="15"/>
  <c r="BC10" i="15" s="1"/>
  <c r="CB10" i="15" s="1"/>
  <c r="AD11" i="15"/>
  <c r="BC11" i="15" s="1"/>
  <c r="CB11" i="15" s="1"/>
  <c r="AD5" i="15"/>
  <c r="BC5" i="15" s="1"/>
  <c r="CB5" i="15" s="1"/>
  <c r="AC6" i="15"/>
  <c r="BB6" i="15" s="1"/>
  <c r="CA6" i="15" s="1"/>
  <c r="AC7" i="15"/>
  <c r="BB7" i="15" s="1"/>
  <c r="CA7" i="15" s="1"/>
  <c r="AC8" i="15"/>
  <c r="BB8" i="15" s="1"/>
  <c r="CA8" i="15" s="1"/>
  <c r="AC9" i="15"/>
  <c r="BB9" i="15" s="1"/>
  <c r="CA9" i="15" s="1"/>
  <c r="AC10" i="15"/>
  <c r="BB10" i="15" s="1"/>
  <c r="CA10" i="15" s="1"/>
  <c r="AC11" i="15"/>
  <c r="BB11" i="15" s="1"/>
  <c r="CA11" i="15" s="1"/>
  <c r="AC5" i="15"/>
  <c r="AB6" i="15"/>
  <c r="BA6" i="15" s="1"/>
  <c r="BZ6" i="15" s="1"/>
  <c r="AB7" i="15"/>
  <c r="BA7" i="15" s="1"/>
  <c r="BZ7" i="15" s="1"/>
  <c r="AB8" i="15"/>
  <c r="BA8" i="15" s="1"/>
  <c r="BZ8" i="15" s="1"/>
  <c r="AB9" i="15"/>
  <c r="BA9" i="15" s="1"/>
  <c r="BZ9" i="15" s="1"/>
  <c r="AB10" i="15"/>
  <c r="BA10" i="15" s="1"/>
  <c r="BZ10" i="15" s="1"/>
  <c r="AB11" i="15"/>
  <c r="BA11" i="15" s="1"/>
  <c r="BZ11" i="15" s="1"/>
  <c r="AB5" i="15"/>
  <c r="AA6" i="15"/>
  <c r="AZ6" i="15" s="1"/>
  <c r="BY6" i="15" s="1"/>
  <c r="AA7" i="15"/>
  <c r="AZ7" i="15" s="1"/>
  <c r="BY7" i="15" s="1"/>
  <c r="AA8" i="15"/>
  <c r="AZ8" i="15" s="1"/>
  <c r="BY8" i="15" s="1"/>
  <c r="AA9" i="15"/>
  <c r="AZ9" i="15" s="1"/>
  <c r="BY9" i="15" s="1"/>
  <c r="AA10" i="15"/>
  <c r="AZ10" i="15" s="1"/>
  <c r="BY10" i="15" s="1"/>
  <c r="AA11" i="15"/>
  <c r="AZ11" i="15" s="1"/>
  <c r="BY11" i="15" s="1"/>
  <c r="AA5" i="15"/>
  <c r="Z6" i="15"/>
  <c r="AY6" i="15" s="1"/>
  <c r="BX6" i="15" s="1"/>
  <c r="Z7" i="15"/>
  <c r="AY7" i="15" s="1"/>
  <c r="BX7" i="15" s="1"/>
  <c r="Z8" i="15"/>
  <c r="AY8" i="15" s="1"/>
  <c r="BX8" i="15" s="1"/>
  <c r="Z9" i="15"/>
  <c r="AY9" i="15" s="1"/>
  <c r="BX9" i="15" s="1"/>
  <c r="Z10" i="15"/>
  <c r="AY10" i="15" s="1"/>
  <c r="BX10" i="15" s="1"/>
  <c r="Z11" i="15"/>
  <c r="AY11" i="15" s="1"/>
  <c r="BX11" i="15" s="1"/>
  <c r="Z5" i="15"/>
  <c r="Y6" i="15"/>
  <c r="AX6" i="15" s="1"/>
  <c r="BW6" i="15" s="1"/>
  <c r="Y7" i="15"/>
  <c r="AX7" i="15" s="1"/>
  <c r="BW7" i="15" s="1"/>
  <c r="Y8" i="15"/>
  <c r="AX8" i="15" s="1"/>
  <c r="BW8" i="15" s="1"/>
  <c r="Y9" i="15"/>
  <c r="AX9" i="15" s="1"/>
  <c r="BW9" i="15" s="1"/>
  <c r="Y10" i="15"/>
  <c r="AX10" i="15" s="1"/>
  <c r="BW10" i="15" s="1"/>
  <c r="Y11" i="15"/>
  <c r="AX11" i="15" s="1"/>
  <c r="BW11" i="15" s="1"/>
  <c r="Y5" i="15"/>
  <c r="AX5" i="15" s="1"/>
  <c r="BW5" i="15" s="1"/>
  <c r="X6" i="15"/>
  <c r="AW6" i="15" s="1"/>
  <c r="BV6" i="15" s="1"/>
  <c r="X7" i="15"/>
  <c r="AW7" i="15" s="1"/>
  <c r="BV7" i="15" s="1"/>
  <c r="X8" i="15"/>
  <c r="AW8" i="15" s="1"/>
  <c r="BV8" i="15" s="1"/>
  <c r="X9" i="15"/>
  <c r="AW9" i="15" s="1"/>
  <c r="BV9" i="15" s="1"/>
  <c r="X10" i="15"/>
  <c r="AW10" i="15" s="1"/>
  <c r="BV10" i="15" s="1"/>
  <c r="X11" i="15"/>
  <c r="AW11" i="15" s="1"/>
  <c r="BV11" i="15" s="1"/>
  <c r="X5" i="15"/>
  <c r="W6" i="15"/>
  <c r="AV6" i="15" s="1"/>
  <c r="BU6" i="15" s="1"/>
  <c r="W7" i="15"/>
  <c r="AV7" i="15" s="1"/>
  <c r="BU7" i="15" s="1"/>
  <c r="W8" i="15"/>
  <c r="AV8" i="15" s="1"/>
  <c r="BU8" i="15" s="1"/>
  <c r="W9" i="15"/>
  <c r="AV9" i="15" s="1"/>
  <c r="BU9" i="15" s="1"/>
  <c r="W10" i="15"/>
  <c r="AV10" i="15" s="1"/>
  <c r="BU10" i="15" s="1"/>
  <c r="W11" i="15"/>
  <c r="AV11" i="15" s="1"/>
  <c r="BU11" i="15" s="1"/>
  <c r="W5" i="15"/>
  <c r="V6" i="15"/>
  <c r="AU6" i="15" s="1"/>
  <c r="BT6" i="15" s="1"/>
  <c r="V7" i="15"/>
  <c r="AU7" i="15" s="1"/>
  <c r="BT7" i="15" s="1"/>
  <c r="V8" i="15"/>
  <c r="AU8" i="15" s="1"/>
  <c r="BT8" i="15" s="1"/>
  <c r="V9" i="15"/>
  <c r="AU9" i="15" s="1"/>
  <c r="BT9" i="15" s="1"/>
  <c r="V10" i="15"/>
  <c r="AU10" i="15" s="1"/>
  <c r="BT10" i="15" s="1"/>
  <c r="V11" i="15"/>
  <c r="AU11" i="15" s="1"/>
  <c r="BT11" i="15" s="1"/>
  <c r="V5" i="15"/>
  <c r="O6" i="15"/>
  <c r="O7" i="15"/>
  <c r="O8" i="15"/>
  <c r="O9" i="15"/>
  <c r="O10" i="15"/>
  <c r="O11" i="15"/>
  <c r="O5" i="15"/>
  <c r="U6" i="15"/>
  <c r="AT6" i="15" s="1"/>
  <c r="BS6" i="15" s="1"/>
  <c r="U7" i="15"/>
  <c r="AT7" i="15" s="1"/>
  <c r="BS7" i="15" s="1"/>
  <c r="U8" i="15"/>
  <c r="AT8" i="15" s="1"/>
  <c r="BS8" i="15" s="1"/>
  <c r="U9" i="15"/>
  <c r="AT9" i="15" s="1"/>
  <c r="BS9" i="15" s="1"/>
  <c r="U10" i="15"/>
  <c r="AT10" i="15" s="1"/>
  <c r="BS10" i="15" s="1"/>
  <c r="U11" i="15"/>
  <c r="AT11" i="15" s="1"/>
  <c r="BS11" i="15" s="1"/>
  <c r="U5" i="15"/>
  <c r="T6" i="15"/>
  <c r="AS6" i="15" s="1"/>
  <c r="BR6" i="15" s="1"/>
  <c r="T7" i="15"/>
  <c r="AS7" i="15" s="1"/>
  <c r="BR7" i="15" s="1"/>
  <c r="T8" i="15"/>
  <c r="AS8" i="15" s="1"/>
  <c r="BR8" i="15" s="1"/>
  <c r="T9" i="15"/>
  <c r="AS9" i="15" s="1"/>
  <c r="BR9" i="15" s="1"/>
  <c r="T10" i="15"/>
  <c r="AS10" i="15" s="1"/>
  <c r="BR10" i="15" s="1"/>
  <c r="T11" i="15"/>
  <c r="AS11" i="15" s="1"/>
  <c r="BR11" i="15" s="1"/>
  <c r="T5" i="15"/>
  <c r="AS5" i="15" s="1"/>
  <c r="BR5" i="15" s="1"/>
  <c r="S6" i="15"/>
  <c r="AR6" i="15" s="1"/>
  <c r="BQ6" i="15" s="1"/>
  <c r="S7" i="15"/>
  <c r="AR7" i="15" s="1"/>
  <c r="BQ7" i="15" s="1"/>
  <c r="S8" i="15"/>
  <c r="AR8" i="15" s="1"/>
  <c r="BQ8" i="15" s="1"/>
  <c r="S9" i="15"/>
  <c r="AR9" i="15" s="1"/>
  <c r="BQ9" i="15" s="1"/>
  <c r="S10" i="15"/>
  <c r="AR10" i="15" s="1"/>
  <c r="BQ10" i="15" s="1"/>
  <c r="S11" i="15"/>
  <c r="AR11" i="15" s="1"/>
  <c r="BQ11" i="15" s="1"/>
  <c r="S5" i="15"/>
  <c r="AR5" i="15" s="1"/>
  <c r="BQ5" i="15" s="1"/>
  <c r="R6" i="15"/>
  <c r="AQ6" i="15" s="1"/>
  <c r="BP6" i="15" s="1"/>
  <c r="R7" i="15"/>
  <c r="AQ7" i="15" s="1"/>
  <c r="BP7" i="15" s="1"/>
  <c r="R8" i="15"/>
  <c r="AQ8" i="15" s="1"/>
  <c r="BP8" i="15" s="1"/>
  <c r="R9" i="15"/>
  <c r="AQ9" i="15" s="1"/>
  <c r="BP9" i="15" s="1"/>
  <c r="R10" i="15"/>
  <c r="AQ10" i="15" s="1"/>
  <c r="BP10" i="15" s="1"/>
  <c r="R11" i="15"/>
  <c r="AQ11" i="15" s="1"/>
  <c r="BP11" i="15" s="1"/>
  <c r="R5" i="15"/>
  <c r="AQ5" i="15" s="1"/>
  <c r="BP5" i="15" s="1"/>
  <c r="Q6" i="15"/>
  <c r="AP6" i="15" s="1"/>
  <c r="BO6" i="15" s="1"/>
  <c r="Q7" i="15"/>
  <c r="AP7" i="15" s="1"/>
  <c r="BO7" i="15" s="1"/>
  <c r="Q8" i="15"/>
  <c r="AP8" i="15" s="1"/>
  <c r="BO8" i="15" s="1"/>
  <c r="Q9" i="15"/>
  <c r="AP9" i="15" s="1"/>
  <c r="BO9" i="15" s="1"/>
  <c r="Q10" i="15"/>
  <c r="AP10" i="15" s="1"/>
  <c r="BO10" i="15" s="1"/>
  <c r="Q11" i="15"/>
  <c r="AP11" i="15" s="1"/>
  <c r="BO11" i="15" s="1"/>
  <c r="Q5" i="15"/>
  <c r="AP5" i="15" s="1"/>
  <c r="BO5" i="15" s="1"/>
  <c r="N6" i="15"/>
  <c r="N7" i="15"/>
  <c r="N8" i="15"/>
  <c r="N9" i="15"/>
  <c r="N10" i="15"/>
  <c r="N11" i="15"/>
  <c r="N5" i="15"/>
  <c r="L5" i="15"/>
  <c r="L6" i="15"/>
  <c r="I17" i="17" s="1"/>
  <c r="L8" i="15"/>
  <c r="L9" i="15"/>
  <c r="L10" i="15"/>
  <c r="L11" i="15"/>
  <c r="L7" i="15"/>
  <c r="C51" i="25"/>
  <c r="E51" i="25" s="1"/>
  <c r="E50" i="25"/>
  <c r="G43" i="25"/>
  <c r="G35" i="25"/>
  <c r="G44" i="25" s="1"/>
  <c r="G34" i="25"/>
  <c r="A9" i="23"/>
  <c r="G43" i="23"/>
  <c r="G35" i="23"/>
  <c r="G34" i="23"/>
  <c r="G44" i="23" s="1"/>
  <c r="A30" i="23"/>
  <c r="A36" i="23" s="1"/>
  <c r="A23" i="23"/>
  <c r="A24" i="23" s="1"/>
  <c r="A28" i="23" s="1"/>
  <c r="A19" i="23"/>
  <c r="A20" i="23" s="1"/>
  <c r="A21" i="23" s="1"/>
  <c r="A8" i="23"/>
  <c r="A10" i="23" s="1"/>
  <c r="A11" i="23" s="1"/>
  <c r="A12" i="23" s="1"/>
  <c r="A13" i="23" s="1"/>
  <c r="A14" i="23" s="1"/>
  <c r="A15" i="23" s="1"/>
  <c r="A16" i="23" s="1"/>
  <c r="G7" i="17"/>
  <c r="J10" i="2"/>
  <c r="J9" i="2"/>
  <c r="E10" i="2"/>
  <c r="E9" i="2"/>
  <c r="G7" i="2"/>
  <c r="G5" i="2"/>
  <c r="D7" i="2"/>
  <c r="D5" i="2"/>
  <c r="J10" i="17"/>
  <c r="J9" i="17"/>
  <c r="E10" i="17"/>
  <c r="E9" i="17"/>
  <c r="G5" i="17"/>
  <c r="D7" i="17"/>
  <c r="D5" i="17"/>
  <c r="J11" i="15" l="1"/>
  <c r="J10" i="15"/>
  <c r="I44" i="17"/>
  <c r="J8" i="15"/>
  <c r="H7" i="10"/>
  <c r="H8" i="10"/>
  <c r="H5" i="10"/>
  <c r="H6" i="10"/>
  <c r="H4" i="10"/>
  <c r="I32" i="2"/>
  <c r="K32" i="2" s="1"/>
  <c r="J32" i="2" s="1"/>
  <c r="J9" i="15"/>
  <c r="J6" i="15"/>
  <c r="BC6" i="15"/>
  <c r="CB6" i="15" s="1"/>
  <c r="I33" i="17"/>
  <c r="K33" i="17" s="1"/>
  <c r="J33" i="17" s="1"/>
  <c r="C49" i="25"/>
  <c r="E49" i="25" s="1"/>
  <c r="AN8" i="15"/>
  <c r="BM8" i="15" s="1"/>
  <c r="AN9" i="15"/>
  <c r="BM9" i="15" s="1"/>
  <c r="AN10" i="15"/>
  <c r="BM10" i="15" s="1"/>
  <c r="AN11" i="15"/>
  <c r="BM11" i="15" s="1"/>
  <c r="I17" i="2"/>
  <c r="K44" i="17" l="1"/>
  <c r="K45" i="17"/>
  <c r="J44" i="17"/>
  <c r="J45" i="17" s="1"/>
  <c r="I36" i="17"/>
  <c r="I35" i="2"/>
  <c r="I18" i="17" l="1"/>
  <c r="AN6" i="15"/>
  <c r="BM6" i="15" s="1"/>
  <c r="K36" i="17"/>
  <c r="BN6" i="15"/>
  <c r="BB5" i="15"/>
  <c r="CA5" i="15" s="1"/>
  <c r="I22" i="17" l="1"/>
  <c r="I32" i="17"/>
  <c r="J7" i="17"/>
  <c r="I52" i="17"/>
  <c r="I26" i="17"/>
  <c r="I29" i="17"/>
  <c r="I27" i="17"/>
  <c r="I25" i="17"/>
  <c r="BD5" i="15"/>
  <c r="I47" i="2"/>
  <c r="I50" i="17"/>
  <c r="I24" i="17"/>
  <c r="BH5" i="15"/>
  <c r="I51" i="2"/>
  <c r="I51" i="17"/>
  <c r="I49" i="17"/>
  <c r="I48" i="17"/>
  <c r="K48" i="17" s="1"/>
  <c r="AM6" i="15"/>
  <c r="BL6" i="15" s="1"/>
  <c r="I20" i="17"/>
  <c r="BG5" i="15"/>
  <c r="I50" i="2"/>
  <c r="I41" i="17"/>
  <c r="AK6" i="15"/>
  <c r="I31" i="17"/>
  <c r="AL6" i="15"/>
  <c r="BK6" i="15" s="1"/>
  <c r="I40" i="17"/>
  <c r="I39" i="17"/>
  <c r="I40" i="2"/>
  <c r="AK11" i="15"/>
  <c r="AL11" i="15"/>
  <c r="BK11" i="15" s="1"/>
  <c r="AM11" i="15"/>
  <c r="BL11" i="15" s="1"/>
  <c r="BN11" i="15"/>
  <c r="BJ6" i="15" l="1"/>
  <c r="H6" i="15" s="1"/>
  <c r="I6" i="15"/>
  <c r="K6" i="15" s="1"/>
  <c r="BJ11" i="15"/>
  <c r="H11" i="15" s="1"/>
  <c r="I11" i="15"/>
  <c r="K40" i="17"/>
  <c r="K39" i="17"/>
  <c r="K49" i="17"/>
  <c r="K50" i="2"/>
  <c r="K41" i="17"/>
  <c r="J41" i="17" s="1"/>
  <c r="K27" i="17"/>
  <c r="K29" i="17"/>
  <c r="J29" i="17" s="1"/>
  <c r="K25" i="17"/>
  <c r="J25" i="17" s="1"/>
  <c r="K52" i="17"/>
  <c r="J52" i="17" s="1"/>
  <c r="K24" i="17"/>
  <c r="J24" i="17" s="1"/>
  <c r="K51" i="17"/>
  <c r="K32" i="17"/>
  <c r="J32" i="17" s="1"/>
  <c r="K51" i="2"/>
  <c r="J51" i="2" s="1"/>
  <c r="K26" i="17"/>
  <c r="J26" i="17" s="1"/>
  <c r="K31" i="17"/>
  <c r="J31" i="17" s="1"/>
  <c r="K50" i="17"/>
  <c r="K47" i="2"/>
  <c r="K40" i="2"/>
  <c r="J40" i="2" s="1"/>
  <c r="K11" i="15" l="1"/>
  <c r="AK7" i="15"/>
  <c r="AL7" i="15"/>
  <c r="BK7" i="15" s="1"/>
  <c r="AN7" i="15"/>
  <c r="BM7" i="15" s="1"/>
  <c r="AK8" i="15"/>
  <c r="AM8" i="15"/>
  <c r="BL8" i="15" s="1"/>
  <c r="AK9" i="15"/>
  <c r="K17" i="17" s="1"/>
  <c r="AL9" i="15"/>
  <c r="AM9" i="15"/>
  <c r="AK10" i="15"/>
  <c r="AL10" i="15"/>
  <c r="BK10" i="15" s="1"/>
  <c r="AM10" i="15"/>
  <c r="BL10" i="15" s="1"/>
  <c r="BA5" i="15"/>
  <c r="BZ5" i="15" s="1"/>
  <c r="BK9" i="15" l="1"/>
  <c r="K18" i="17"/>
  <c r="BL9" i="15"/>
  <c r="K20" i="17"/>
  <c r="BJ10" i="15"/>
  <c r="BJ8" i="15"/>
  <c r="BJ9" i="15"/>
  <c r="BJ7" i="15"/>
  <c r="AL8" i="15"/>
  <c r="BK8" i="15" s="1"/>
  <c r="I18" i="2"/>
  <c r="I39" i="2"/>
  <c r="K39" i="2" s="1"/>
  <c r="AM7" i="15"/>
  <c r="BL7" i="15" s="1"/>
  <c r="I20" i="2"/>
  <c r="AV5" i="15"/>
  <c r="BU5" i="15" s="1"/>
  <c r="AW5" i="15" l="1"/>
  <c r="BV5" i="15" s="1"/>
  <c r="I27" i="2"/>
  <c r="K43" i="2" l="1"/>
  <c r="I43" i="2"/>
  <c r="I31" i="2"/>
  <c r="K31" i="2" s="1"/>
  <c r="J31" i="2" s="1"/>
  <c r="K27" i="2"/>
  <c r="J27" i="2" s="1"/>
  <c r="AY5" i="15"/>
  <c r="J50" i="2"/>
  <c r="J51" i="17"/>
  <c r="AL5" i="15"/>
  <c r="K18" i="2" l="1"/>
  <c r="BK5" i="15"/>
  <c r="K35" i="2"/>
  <c r="K36" i="2" s="1"/>
  <c r="BX5" i="15"/>
  <c r="K44" i="2"/>
  <c r="J43" i="2"/>
  <c r="J44" i="2" s="1"/>
  <c r="K22" i="17"/>
  <c r="AT5" i="15"/>
  <c r="BS5" i="15" s="1"/>
  <c r="J22" i="17" l="1"/>
  <c r="K34" i="17"/>
  <c r="BN10" i="15"/>
  <c r="H10" i="15" s="1"/>
  <c r="I10" i="15"/>
  <c r="K10" i="15" s="1"/>
  <c r="BN9" i="15"/>
  <c r="H9" i="15" s="1"/>
  <c r="I9" i="15"/>
  <c r="BN8" i="15"/>
  <c r="H8" i="15" s="1"/>
  <c r="I8" i="15"/>
  <c r="K8" i="15" s="1"/>
  <c r="BN7" i="15"/>
  <c r="H7" i="15" s="1"/>
  <c r="I7" i="15"/>
  <c r="K7" i="15" s="1"/>
  <c r="J7" i="2"/>
  <c r="J36" i="17"/>
  <c r="J37" i="17" s="1"/>
  <c r="K37" i="17"/>
  <c r="K9" i="15" l="1"/>
  <c r="I49" i="2"/>
  <c r="I48" i="2"/>
  <c r="BE5" i="15" l="1"/>
  <c r="BF5" i="15"/>
  <c r="K49" i="2" s="1"/>
  <c r="K48" i="2" l="1"/>
  <c r="J48" i="2" s="1"/>
  <c r="J5" i="15"/>
  <c r="J49" i="17"/>
  <c r="J50" i="17"/>
  <c r="J49" i="2"/>
  <c r="D6" i="17"/>
  <c r="I21" i="2" l="1"/>
  <c r="AN5" i="15"/>
  <c r="BM5" i="15" s="1"/>
  <c r="I25" i="2"/>
  <c r="K25" i="2" s="1"/>
  <c r="J25" i="2" s="1"/>
  <c r="I26" i="2"/>
  <c r="K26" i="2" s="1"/>
  <c r="J26" i="2" s="1"/>
  <c r="I23" i="2"/>
  <c r="K23" i="2" s="1"/>
  <c r="J23" i="2" s="1"/>
  <c r="BN5" i="15"/>
  <c r="AU5" i="15"/>
  <c r="BT5" i="15" s="1"/>
  <c r="I28" i="2"/>
  <c r="I38" i="2"/>
  <c r="AK5" i="15"/>
  <c r="K21" i="2" l="1"/>
  <c r="J21" i="2" s="1"/>
  <c r="K17" i="2"/>
  <c r="BJ5" i="15"/>
  <c r="I30" i="2"/>
  <c r="K30" i="2" s="1"/>
  <c r="J30" i="2" s="1"/>
  <c r="AZ5" i="15"/>
  <c r="K28" i="2"/>
  <c r="AM5" i="15"/>
  <c r="I5" i="15" s="1"/>
  <c r="K38" i="2" l="1"/>
  <c r="K41" i="2" s="1"/>
  <c r="BY5" i="15"/>
  <c r="K20" i="2"/>
  <c r="K33" i="2" s="1"/>
  <c r="BL5" i="15"/>
  <c r="H5" i="15" s="1"/>
  <c r="K5" i="15" s="1"/>
  <c r="K42" i="17"/>
  <c r="J47" i="2"/>
  <c r="J52" i="2" s="1"/>
  <c r="J55" i="2" s="1"/>
  <c r="J20" i="17"/>
  <c r="J27" i="17"/>
  <c r="J28" i="2"/>
  <c r="J17" i="17"/>
  <c r="J18" i="17"/>
  <c r="J34" i="17" l="1"/>
  <c r="K53" i="17"/>
  <c r="K56" i="17" s="1"/>
  <c r="J48" i="17"/>
  <c r="J53" i="17" s="1"/>
  <c r="J56" i="17" s="1"/>
  <c r="K52" i="2"/>
  <c r="K55" i="2" s="1"/>
  <c r="J39" i="17"/>
  <c r="K45" i="2"/>
  <c r="J35" i="2"/>
  <c r="J36" i="2" s="1"/>
  <c r="J40" i="17"/>
  <c r="K46" i="17" l="1"/>
  <c r="K55" i="17" s="1"/>
  <c r="K54" i="2"/>
  <c r="J42" i="17"/>
  <c r="J46" i="17" s="1"/>
  <c r="J55" i="17" l="1"/>
  <c r="K57" i="17" s="1"/>
  <c r="J17" i="2" l="1"/>
  <c r="J39" i="2"/>
  <c r="J38" i="2"/>
  <c r="D6" i="2"/>
  <c r="J41" i="2" l="1"/>
  <c r="J20" i="2"/>
  <c r="J18" i="2"/>
  <c r="J33" i="2" l="1"/>
  <c r="J45" i="2" s="1"/>
  <c r="J54" i="2" l="1"/>
  <c r="K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tc={C35772CE-565C-40C6-AB0B-709244E3E02D}</author>
  </authors>
  <commentList>
    <comment ref="A1" authorId="0" shapeId="0" xr:uid="{C35772CE-565C-40C6-AB0B-709244E3E02D}">
      <text>
        <t xml:space="preserve">[Threaded comment]
Your version of Excel allows you to read this threaded comment; however, any edits to it will get removed if the file is opened in a newer version of Excel. Learn more: https://go.microsoft.com/fwlink/?linkid=870924
Comment:
    No edits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tc={8BE7BE16-DE79-42C9-B42B-7760F52C1993}</author>
    <author>tc={568F29EE-A17F-4FF4-BE98-15CF47B91880}</author>
  </authors>
  <commentList>
    <comment ref="E49" authorId="0" shapeId="0" xr:uid="{8BE7BE16-DE79-42C9-B42B-7760F52C1993}">
      <text>
        <t>[Threaded comment]
Your version of Excel allows you to read this threaded comment; however, any edits to it will get removed if the file is opened in a newer version of Excel. Learn more: https://go.microsoft.com/fwlink/?linkid=870924
Comment:
    Bonus Points included: 100%</t>
      </text>
    </comment>
    <comment ref="E50" authorId="1" shapeId="0" xr:uid="{568F29EE-A17F-4FF4-BE98-15CF47B91880}">
      <text>
        <t>[Threaded comment]
Your version of Excel allows you to read this threaded comment; however, any edits to it will get removed if the file is opened in a newer version of Excel. Learn more: https://go.microsoft.com/fwlink/?linkid=870924
Comment:
    Bonus Points included: 36%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tc={38D1C3D1-94CA-4FCB-904B-E4DDF2678E58}</author>
  </authors>
  <commentList>
    <comment ref="H2" authorId="0" shapeId="0" xr:uid="{38D1C3D1-94CA-4FCB-904B-E4DDF2678E58}">
      <text>
        <t>[Threaded comment]
Your version of Excel allows you to read this threaded comment; however, any edits to it will get removed if the file is opened in a newer version of Excel. Learn more: https://go.microsoft.com/fwlink/?linkid=870924
Comment:
    Formula for scores: ((Performance Points Earned (Column H) / Performance Points Available (Column G) * 100) + (Bonus Points Earned (Column I))) = Final Score (Column J)</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tc={0114D442-7DAB-4CD8-BCC8-C7A3B4112298}</author>
  </authors>
  <commentList>
    <comment ref="CE3" authorId="0" shapeId="0" xr:uid="{0114D442-7DAB-4CD8-BCC8-C7A3B4112298}">
      <text>
        <t>[Threaded comment]
Your version of Excel allows you to read this threaded comment; however, any edits to it will get removed if the file is opened in a newer version of Excel. Learn more: https://go.microsoft.com/fwlink/?linkid=870924
Comment:
    Measure 10: RRH Only
Measure 11: PSH Only
Measure 12: RRH Only
Measure 13: All projects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tc={1AC80250-06B3-4482-9779-478860DD9F16}</author>
  </authors>
  <commentList>
    <comment ref="D1" authorId="0" shapeId="0" xr:uid="{1AC80250-06B3-4482-9779-478860DD9F16}">
      <text>
        <t>[Threaded comment]
Your version of Excel allows you to read this threaded comment; however, any edits to it will get removed if the file is opened in a newer version of Excel. Learn more: https://go.microsoft.com/fwlink/?linkid=870924
Comment:
    Updated project names to match Sage; projects in red text need to be removed (combined with other projects)</t>
      </text>
    </comment>
  </commentList>
</comments>
</file>

<file path=xl/sharedStrings.xml><?xml version="1.0" encoding="utf-8"?>
<sst xmlns="http://schemas.openxmlformats.org/spreadsheetml/2006/main" count="1263" uniqueCount="637">
  <si>
    <t>Instructions for using the scoring calculator:</t>
  </si>
  <si>
    <t>Insert raw data from APR, Provider Report, and submitted documents in tab "Raw Project Data".</t>
  </si>
  <si>
    <t>If you are unsure what data point to enter into which cells on "Raw Project Data" tab, use the "Example Table Shells" tab for reference.</t>
  </si>
  <si>
    <t>Once raw data is entered into "Raw Project Data" tab, the "Scoring Calculator" tab will automatically calculate the performance and score for each project. This will then feed into the "PSH Project Report" and "RRH Project Report" tabs, which will generate individual scoring reports for each project.</t>
  </si>
  <si>
    <t xml:space="preserve">To use the "PSH Project Report" and "RRH Project Report" tabs, select the appropriate grant number from the dark gray "Drop Down Menu" cell. You can then generate an individual report for each grant. Once you pull up an individual report, you can select Print and Print to PDF to save the report as a PDF (to provide to grantees). You can also create a copy of the worksheet and rename it with the Grant # or project name. </t>
  </si>
  <si>
    <t>Once all projects are scored, you can fill in their total score on the "Summary Report" tab.</t>
  </si>
  <si>
    <t xml:space="preserve">Do not delete the "vlookup - do not delete" tab. This tab is necessary to generate the individual reports. </t>
  </si>
  <si>
    <t>Evaluation Criteria</t>
  </si>
  <si>
    <t>Data
Source</t>
  </si>
  <si>
    <t>FY25 Scoring Intervals</t>
  </si>
  <si>
    <t>PSH</t>
  </si>
  <si>
    <t>RRH</t>
  </si>
  <si>
    <t>ALL</t>
  </si>
  <si>
    <t>Performance (Base Points)</t>
  </si>
  <si>
    <t>Efficient Use of Resources</t>
  </si>
  <si>
    <t>Spending on last fully completed HUD grant year: % of grant funds expended</t>
  </si>
  <si>
    <t>eLOCCS report</t>
  </si>
  <si>
    <t>0.0% - 84.9% = score of 0;
85.0% - 94.9% = score of 5;
95.0% - 100.0% = score of 10</t>
  </si>
  <si>
    <t>Occupancy/Unit Utilization: Average utilization rate of project (using project utilization each quarter, as reported on APR)</t>
  </si>
  <si>
    <t>1. HMIS APR (Q8b)
2. e-snaps report</t>
  </si>
  <si>
    <t>0.0% - 89.9% = score of 0;
90.0% - 94.9% = score of 5;
95.0% - 100.0% = score of 10</t>
  </si>
  <si>
    <t>Eligibility</t>
  </si>
  <si>
    <t>Percentage of adult Heads of Household with previous residence that indicates the qualified category of homelessness for the project</t>
  </si>
  <si>
    <t>1. HMIS APR (Q15)
2. Provider documentation</t>
  </si>
  <si>
    <t>0.0% - 99.9% = score of 0;
100.0% = score of 10; 
HUD Standard: 100%</t>
  </si>
  <si>
    <t>PSH Only: Percent of Households w/at least one or more CH member</t>
  </si>
  <si>
    <t>HMIS APR (Q26a)</t>
  </si>
  <si>
    <t>N/A</t>
  </si>
  <si>
    <t>0.0% - 74.9% = score of 0;
75.0% - 84.9% = score of 1;
85.0% - 94.9% = score of 3;
95.0%- 100.0% = score of 5</t>
  </si>
  <si>
    <t>Rapid Return To Permanent Housing</t>
  </si>
  <si>
    <t>Average length of time to housing (time between project start date and housing move in date)</t>
  </si>
  <si>
    <t>HMIS APR (Q22c)</t>
  </si>
  <si>
    <t>Tenant-Based:
&lt;=30 days
Site-Based: 
&lt;=14 days</t>
  </si>
  <si>
    <t>Tenant-Based:
181+ days = score of 0
61 - 180 days = score of 1;
31 - 60 days = score of 3;
0 - 30 days = score of 5;
Site-based:
61+ days = score of 0
22 - 60 days = score of 1;
15 - 21 days = score of 3;
0 - 14 days = score of 5</t>
  </si>
  <si>
    <t>Participant Income/Resources</t>
  </si>
  <si>
    <t>Percentage of all adult participants who increased EARNED INCOME from entry to exit/follow-up (leavers and stayers)</t>
  </si>
  <si>
    <t>HMIS APR (Q18, Q19a1, Q19a2)</t>
  </si>
  <si>
    <t>0.0% - 4.9% = score of 0;
5.0% - 9.9% = score of 3;
10.0% - 14.9% = score of 6;
15.0% - 100.0% = score of 10</t>
  </si>
  <si>
    <t>0.0% - 4.9% = score of 0;
5.0% - 9.9% = score of 3;
10.0% - 24.9% = score of 6;
25.0% - 100.0% = score of 10</t>
  </si>
  <si>
    <t>Percentage of all adult participants who increased OTHER INCOME (NON- EARNED) from entry to annual assessment/exit (leavers and stayers)</t>
  </si>
  <si>
    <t>0.0% - 39.9% = score of 0;
40.0% - 54.9% = score of 1;
55.0% - 69.9% = score of 3;
70.0% - 100.0% = score of 5</t>
  </si>
  <si>
    <t>0.0% - 4.9% = score of 0;
5.0% - 9.9% = score of 1;
10.0% - 14.9% = score of 3;
15.0% - 100.0% = score of 5</t>
  </si>
  <si>
    <t>Percentage of adult participants who maintained EARNED INCOME at annual assessment/exit (leavers and stayers)</t>
  </si>
  <si>
    <t>HMIS APR (Q18)</t>
  </si>
  <si>
    <t>0.0% - 34.9% = score of 0;
35% - 49.9% = score of 1;
50.0% - 69.9% = score of 3;
70.0% - 100.0% = score of 5</t>
  </si>
  <si>
    <t>Percentage of adult participants with 1 or more source of Non-Cash Benefit at annual assessment/exit (leavers and stayers)</t>
  </si>
  <si>
    <t>HMIS APR (Q18, Q20b)</t>
  </si>
  <si>
    <t>0.0% - 34.9% = score of 0;
35% - 49.9% = score of 1;
50.0% - 64.9% = score of 2;
65.0% - 100.0% = score of 3</t>
  </si>
  <si>
    <t>0.0% - 24.9% = score of 0;
25% - 39.9% = score of 1;
40.0% - 54.9% = score of 2;
55.0% - 100.0% = score of 3</t>
  </si>
  <si>
    <t>Length of Stay</t>
  </si>
  <si>
    <t>RRH Only: Percent of participants whose length of stay is 6 months or less</t>
  </si>
  <si>
    <t>HMIS APR (Q22a1)</t>
  </si>
  <si>
    <t>0.0% - 24.9% = score of 0;
25.0% - 34.9% = score of 1;
35.0 % - 49.9% = score of 3; 
50.0% - 100.0% = score of 5</t>
  </si>
  <si>
    <t>Housing Stability</t>
  </si>
  <si>
    <t>PSH Only: Percentage of all participants who remain in PSH or exited to permanent housing*</t>
  </si>
  <si>
    <t>HMIS APR (Q22a1, Q23c)</t>
  </si>
  <si>
    <t>0.0% - 44.9% = score of 0;
45.0% - 64.9% = score of 1;
65% - 84.9% = score of 3;
85.0% - 100.0% = score of 5</t>
  </si>
  <si>
    <t>RRH: Percentage of all leavers who exited to Permanent Housing*</t>
  </si>
  <si>
    <t>HMIS APR (Q23c)</t>
  </si>
  <si>
    <t>Percentage of all leavers who exited to shelter, streets or unknown destinations</t>
  </si>
  <si>
    <t>Less than or equal to 5%</t>
  </si>
  <si>
    <t>0.0% - 5% = score of 5;
&gt;5.0% = score of 0</t>
  </si>
  <si>
    <t>Returns: Percent of participants housed by the project that return to homelessness within 24 months of exiting to permanent housing</t>
  </si>
  <si>
    <t>1. HMIS APR (Q23c)
2. HMIS SPM (Q2a, Q2b)
3. DSS Report</t>
  </si>
  <si>
    <t>Less than 15%</t>
  </si>
  <si>
    <t>0.0% - 14.99% = score of 10;
15.0% - 19.99% = score of 5;
20.0% - 24.99% = score of 3;
&gt;25% = score of 0</t>
  </si>
  <si>
    <t>Data Quality</t>
  </si>
  <si>
    <t>Timeliness of HMIS Data Entry - Entry Records created within 0 to 3 calendar days of project entry</t>
  </si>
  <si>
    <t>HMIS APR (Q6e)</t>
  </si>
  <si>
    <t>0.0% - 49.9% = score of 0;
50.0% - 74.9% = score of 1;
&gt;75.0% = score of 2</t>
  </si>
  <si>
    <t>Compliance</t>
  </si>
  <si>
    <t>Match equals or exceeds statutory requirement</t>
  </si>
  <si>
    <t>1. e-snaps report
2. Sage</t>
  </si>
  <si>
    <t>25% excluding leasing</t>
  </si>
  <si>
    <t>0.0% - 24.9% = score of 0;
25.0% - 100.0% = score of 5
HUD Standard: 25% of expenditures requiring match</t>
  </si>
  <si>
    <t>HUD Drawdowns Quarterly</t>
  </si>
  <si>
    <t>Minimum quarterly draws</t>
  </si>
  <si>
    <t>No = Score of 0;
Yes = Score of 5;
HUD Standard: Quarterly</t>
  </si>
  <si>
    <t>HUD Annual Performance Report (APR) Submission within 90 days of the end of the program year</t>
  </si>
  <si>
    <t>Sage</t>
  </si>
  <si>
    <t>Within 90 days of last fully completely grant cycle end</t>
  </si>
  <si>
    <t>Non-Timely Submission = Score of 0
Timely Submission (within 90 days of last fully completed grant cycle end) = Score of 2</t>
  </si>
  <si>
    <t>Supportive Services</t>
  </si>
  <si>
    <t>Supportive Services Requirements: Project requires participants to take part in supportive services (e.g., case management, employment training, substance use disorder treatment)</t>
  </si>
  <si>
    <t>1. Supportive Services Agreement
2. Individualized Service Plan</t>
  </si>
  <si>
    <t>Documentation Submitted</t>
  </si>
  <si>
    <t>Service Participation Not Required = Score of 0
Service Participation Required = Score of 3</t>
  </si>
  <si>
    <t>Total Performance (Base) Points</t>
  </si>
  <si>
    <t>HUD/CoC Priorities - Bonus Points</t>
  </si>
  <si>
    <t>FY25 Total Possible Bonus Points</t>
  </si>
  <si>
    <t>Project Type</t>
  </si>
  <si>
    <t>Severity of Need: % of adults with 2 or more disabilities at project start</t>
  </si>
  <si>
    <t>HMIS APR (Q13a2)</t>
  </si>
  <si>
    <t xml:space="preserve">Points are awarded propotionately by multiplying the total possible points by the percent of persons served during the report period that meet the condition
</t>
  </si>
  <si>
    <t xml:space="preserve">Severity of Need: % of adults that are domestic violence survivors </t>
  </si>
  <si>
    <t>HMIS APR (Q14a)</t>
  </si>
  <si>
    <t xml:space="preserve">Severity of Need: % of adults entering project from a place not meant for human habitation </t>
  </si>
  <si>
    <t>HMIS APR (Q15)</t>
  </si>
  <si>
    <t>Severity of Need: % of adults that are Transition Age Youth (18 - 24)</t>
  </si>
  <si>
    <t>HMIS APR (Q11)</t>
  </si>
  <si>
    <t>Severity of Need: % of adults age 55+</t>
  </si>
  <si>
    <t>Total Maximum Bonus Points</t>
  </si>
  <si>
    <t>TOTAL MAXIMUM POINTS (BASE + BONUS)</t>
  </si>
  <si>
    <t>*Measure 11 and 12 exclude deceased participants as well as those exiting to  foster care, hospitals/medical facilties and long-term care facilities/nursing homes</t>
  </si>
  <si>
    <t>Note: Domestic Violence projects will provide APR data from a comparable database.</t>
  </si>
  <si>
    <t>PWA CoC Renewal Project Scoring Tool
Appendix: Data Calculations Explanation for Scoring Criteria</t>
  </si>
  <si>
    <t>Calculation</t>
  </si>
  <si>
    <r>
      <rPr>
        <u/>
        <sz val="11"/>
        <color theme="1"/>
        <rFont val="Calibri"/>
        <family val="2"/>
        <scheme val="minor"/>
      </rPr>
      <t>1. Data Source:</t>
    </r>
    <r>
      <rPr>
        <sz val="11"/>
        <color theme="1"/>
        <rFont val="Calibri"/>
        <family val="2"/>
        <scheme val="minor"/>
      </rPr>
      <t xml:space="preserve"> Q15: Living Situation
</t>
    </r>
    <r>
      <rPr>
        <u/>
        <sz val="11"/>
        <color theme="1"/>
        <rFont val="Calibri"/>
        <family val="2"/>
        <scheme val="minor"/>
      </rPr>
      <t>Numerator:</t>
    </r>
    <r>
      <rPr>
        <sz val="11"/>
        <color theme="1"/>
        <rFont val="Calibri"/>
        <family val="2"/>
        <scheme val="minor"/>
      </rPr>
      <t xml:space="preserve"> (Q15. Total - Subtotal Homeless Situations)
</t>
    </r>
    <r>
      <rPr>
        <u/>
        <sz val="11"/>
        <color theme="1"/>
        <rFont val="Calibri"/>
        <family val="2"/>
        <scheme val="minor"/>
      </rPr>
      <t>Denominator:</t>
    </r>
    <r>
      <rPr>
        <sz val="11"/>
        <color theme="1"/>
        <rFont val="Calibri"/>
        <family val="2"/>
        <scheme val="minor"/>
      </rPr>
      <t xml:space="preserve"> ((Q15. Total) - (Q15. Client Doesn't Know/Client Refused))
2. DSS will review information submitted by provider related to any heads of household who entered from non-literally homeless situations (such as fleeing DV), to calculate final score on this criteria.</t>
    </r>
  </si>
  <si>
    <r>
      <rPr>
        <u/>
        <sz val="11"/>
        <color theme="1"/>
        <rFont val="Calibri"/>
        <family val="2"/>
        <scheme val="minor"/>
      </rPr>
      <t>Data Source</t>
    </r>
    <r>
      <rPr>
        <sz val="11"/>
        <color theme="1"/>
        <rFont val="Calibri"/>
        <family val="2"/>
        <scheme val="minor"/>
      </rPr>
      <t xml:space="preserve">: Q26a: Chronic Homeless Status - Number of Households w/at least one or more CH person
</t>
    </r>
    <r>
      <rPr>
        <u/>
        <sz val="11"/>
        <color theme="1"/>
        <rFont val="Calibri"/>
        <family val="2"/>
        <scheme val="minor"/>
      </rPr>
      <t xml:space="preserve">Numerator: </t>
    </r>
    <r>
      <rPr>
        <sz val="11"/>
        <color theme="1"/>
        <rFont val="Calibri"/>
        <family val="2"/>
        <scheme val="minor"/>
      </rPr>
      <t xml:space="preserve"> Q26a.Chronically Homeless-Total
</t>
    </r>
    <r>
      <rPr>
        <u/>
        <sz val="11"/>
        <color theme="1"/>
        <rFont val="Calibri"/>
        <family val="2"/>
        <scheme val="minor"/>
      </rPr>
      <t>Denominator</t>
    </r>
    <r>
      <rPr>
        <sz val="11"/>
        <color theme="1"/>
        <rFont val="Calibri"/>
        <family val="2"/>
        <scheme val="minor"/>
      </rPr>
      <t>: ((Q26a. Total-Total) - (Q26a. Client Doesn’t Know/Client Refused-Total))</t>
    </r>
  </si>
  <si>
    <t>Data Source: Q22c: Length of Time between Project Start Date and Housing Move-in Date
Average length of time to housing - Total
(Measure is based on the "housing type" [tenant-based or site-based] rather than the "project type" [PSH or RRH])</t>
  </si>
  <si>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w/Earned Income-Performance Measure: Adults who gained or Increased Income from Start to Annual Assessment)) + (Q19a2 Number of Adults w/Earned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</si>
  <si>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w/Other Income -Performance Measure: Adults who gained or Increased Income from Start to Annual Assessment) + (Q19a2 Number of Adults w/Other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</si>
  <si>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rFont val="Calibri"/>
        <family val="2"/>
        <scheme val="minor"/>
      </rPr>
      <t>Data Source:</t>
    </r>
    <r>
      <rPr>
        <sz val="11"/>
        <rFont val="Calibri"/>
        <family val="2"/>
        <scheme val="minor"/>
      </rPr>
      <t xml:space="preserve"> APR Q18: Client Cash Income Category - Earned/Other Income Category - by Entry and Annual Assessment/Exit Status
</t>
    </r>
    <r>
      <rPr>
        <u/>
        <sz val="11"/>
        <rFont val="Calibri"/>
        <family val="2"/>
        <scheme val="minor"/>
      </rPr>
      <t>Numerator</t>
    </r>
    <r>
      <rPr>
        <sz val="11"/>
        <rFont val="Calibri"/>
        <family val="2"/>
        <scheme val="minor"/>
      </rPr>
      <t xml:space="preserve">: ((Q18 Adults at Annual (Stayers)-Adults with Only Earned Income + Adults with Both Earned and Other Income) + (Q18 Adults at Exit (Leavers)-Adults with Only Earned Income + Adults with Both Earned and Other Income))
</t>
    </r>
    <r>
      <rPr>
        <u/>
        <sz val="11"/>
        <rFont val="Calibri"/>
        <family val="2"/>
        <scheme val="minor"/>
      </rPr>
      <t>Denominator:</t>
    </r>
    <r>
      <rPr>
        <sz val="11"/>
        <rFont val="Calibri"/>
        <family val="2"/>
        <scheme val="minor"/>
      </rPr>
      <t xml:space="preserve"> ((Q18 Adults at Annual (Stayers)-Total Adults) + (Q18 Adults at Exit (Leavers)-Total Adults) – (Q18 Adults at Annual (Stayers)-Number of adult stayers not yet required to have annual assessment) – (Q18 Adults at Annual (Stayers)-Adults with Client Doesn’t Know/Client Refused Income Information) – (Q18 Adults at Exit (Leavers)-Adults with Client Doesn’t Know/Client Refused Income Information))</t>
    </r>
  </si>
  <si>
    <r>
      <rPr>
        <u/>
        <sz val="11"/>
        <color theme="1"/>
        <rFont val="Calibri"/>
        <family val="2"/>
        <scheme val="minor"/>
      </rPr>
      <t>Data Source</t>
    </r>
    <r>
      <rPr>
        <sz val="11"/>
        <color theme="1"/>
        <rFont val="Calibri"/>
        <family val="2"/>
        <scheme val="minor"/>
      </rPr>
      <t xml:space="preserve">: APR Q20b: Number of Non-Cash Benefit Sources; APR Q18: Client Cash Income Category - Earned/Other Income Category - by Entry and Annual Assessment/Exit Status
</t>
    </r>
    <r>
      <rPr>
        <u/>
        <sz val="11"/>
        <color theme="1"/>
        <rFont val="Calibri"/>
        <family val="2"/>
        <scheme val="minor"/>
      </rPr>
      <t>Numerator:</t>
    </r>
    <r>
      <rPr>
        <sz val="11"/>
        <color theme="1"/>
        <rFont val="Calibri"/>
        <family val="2"/>
        <scheme val="minor"/>
      </rPr>
      <t xml:space="preserve"> (Q20b Benefit at Latest Annual Assessment for Stayers-1 + Source(s)) + (Q20b Benefit at Exit for Leavers-1+ Source(s)) 
</t>
    </r>
    <r>
      <rPr>
        <u/>
        <sz val="11"/>
        <color theme="1"/>
        <rFont val="Calibri"/>
        <family val="2"/>
        <scheme val="minor"/>
      </rPr>
      <t>Denominator:</t>
    </r>
    <r>
      <rPr>
        <sz val="11"/>
        <color theme="1"/>
        <rFont val="Calibri"/>
        <family val="2"/>
        <scheme val="minor"/>
      </rPr>
      <t xml:space="preserve"> ((Q20b Benefit at Latest Annual Assessment for Stayers-Total) + (Q20b Benefit at Exit for Leavers-Total) – (Q18 Number of Stayers-Number of adult stayers not yet required to have an annual assessment) – (Q20b Benefit at Latest Annual Assessment for Stayers-Client Doesn't Know/Client Refused) – (Q20b Benefit at Exit for Leavers-Client Doesn't Know/Client Refused))</t>
    </r>
  </si>
  <si>
    <r>
      <rPr>
        <u/>
        <sz val="11"/>
        <color theme="1"/>
        <rFont val="Calibri"/>
        <family val="2"/>
        <scheme val="minor"/>
      </rPr>
      <t>Data Source:</t>
    </r>
    <r>
      <rPr>
        <sz val="11"/>
        <color theme="1"/>
        <rFont val="Calibri"/>
        <family val="2"/>
        <scheme val="minor"/>
      </rPr>
      <t xml:space="preserve"> APR Q22a1:  Length of Participation – CoC Projects
</t>
    </r>
    <r>
      <rPr>
        <u/>
        <sz val="11"/>
        <color theme="1"/>
        <rFont val="Calibri"/>
        <family val="2"/>
        <scheme val="minor"/>
      </rPr>
      <t>Numerator</t>
    </r>
    <r>
      <rPr>
        <sz val="11"/>
        <color theme="1"/>
        <rFont val="Calibri"/>
        <family val="2"/>
        <scheme val="minor"/>
      </rPr>
      <t xml:space="preserve">: ((Total-30 days or less) + (Total-31 to 60 days) + (Total-61 to 90 days) + (Total-91 to 180 days)) 
</t>
    </r>
    <r>
      <rPr>
        <u/>
        <sz val="11"/>
        <color theme="1"/>
        <rFont val="Calibri"/>
        <family val="2"/>
        <scheme val="minor"/>
      </rPr>
      <t>Denominator</t>
    </r>
    <r>
      <rPr>
        <sz val="11"/>
        <color theme="1"/>
        <rFont val="Calibri"/>
        <family val="2"/>
        <scheme val="minor"/>
      </rPr>
      <t>: (Total-Total)</t>
    </r>
  </si>
  <si>
    <r>
      <rPr>
        <u/>
        <sz val="11"/>
        <color theme="1"/>
        <rFont val="Calibri"/>
        <family val="2"/>
        <scheme val="minor"/>
      </rPr>
      <t>Data Source:</t>
    </r>
    <r>
      <rPr>
        <sz val="11"/>
        <color theme="1"/>
        <rFont val="Calibri"/>
        <family val="2"/>
        <scheme val="minor"/>
      </rPr>
      <t xml:space="preserve"> Q22a1: Length of Participation – CoC Projects; Q23c: Exit Destination 
</t>
    </r>
    <r>
      <rPr>
        <u/>
        <sz val="11"/>
        <color theme="1"/>
        <rFont val="Calibri"/>
        <family val="2"/>
        <scheme val="minor"/>
      </rPr>
      <t>Numerator</t>
    </r>
    <r>
      <rPr>
        <sz val="11"/>
        <color theme="1"/>
        <rFont val="Calibri"/>
        <family val="2"/>
        <scheme val="minor"/>
      </rPr>
      <t xml:space="preserve">: ((Q22a1 Stayers-Total) + (Q23c-Total persons exiting to positive housing destinations)) 
</t>
    </r>
    <r>
      <rPr>
        <u/>
        <sz val="11"/>
        <color theme="1"/>
        <rFont val="Calibri"/>
        <family val="2"/>
        <scheme val="minor"/>
      </rPr>
      <t>Denominator</t>
    </r>
    <r>
      <rPr>
        <sz val="11"/>
        <color theme="1"/>
        <rFont val="Calibri"/>
        <family val="2"/>
        <scheme val="minor"/>
      </rPr>
      <t>: ((Q22a1 Stayers-Total + Q23c Total) – (Q23c-Total persons whose destinations excluded them from the calculation))</t>
    </r>
  </si>
  <si>
    <r>
      <rPr>
        <u/>
        <sz val="11"/>
        <color theme="1"/>
        <rFont val="Calibri"/>
        <family val="2"/>
        <scheme val="minor"/>
      </rPr>
      <t>Data Source:</t>
    </r>
    <r>
      <rPr>
        <sz val="11"/>
        <color theme="1"/>
        <rFont val="Calibri"/>
        <family val="2"/>
        <scheme val="minor"/>
      </rPr>
      <t xml:space="preserve"> APR Q23c: Exit Destination 
</t>
    </r>
    <r>
      <rPr>
        <u/>
        <sz val="11"/>
        <color theme="1"/>
        <rFont val="Calibri"/>
        <family val="2"/>
        <scheme val="minor"/>
      </rPr>
      <t>Calculation</t>
    </r>
    <r>
      <rPr>
        <sz val="11"/>
        <color theme="1"/>
        <rFont val="Calibri"/>
        <family val="2"/>
        <scheme val="minor"/>
      </rPr>
      <t>: Percentage – Total</t>
    </r>
  </si>
  <si>
    <r>
      <rPr>
        <u/>
        <sz val="11"/>
        <color theme="1"/>
        <rFont val="Calibri"/>
        <family val="2"/>
        <scheme val="minor"/>
      </rPr>
      <t xml:space="preserve">Data Source: </t>
    </r>
    <r>
      <rPr>
        <sz val="11"/>
        <color theme="1"/>
        <rFont val="Calibri"/>
        <family val="2"/>
        <scheme val="minor"/>
      </rPr>
      <t xml:space="preserve">Q23c: Exit Destination 
</t>
    </r>
    <r>
      <rPr>
        <u/>
        <sz val="11"/>
        <color theme="1"/>
        <rFont val="Calibri"/>
        <family val="2"/>
        <scheme val="minor"/>
      </rPr>
      <t>Numerator</t>
    </r>
    <r>
      <rPr>
        <sz val="11"/>
        <color theme="1"/>
        <rFont val="Calibri"/>
        <family val="2"/>
        <scheme val="minor"/>
      </rPr>
      <t xml:space="preserve">: ((Q23c - Total - Emergency Shelter) + (Q23c- Total - Place not meant for human habitation) + (Q23c - Total - Data Not Collected))
</t>
    </r>
    <r>
      <rPr>
        <u/>
        <sz val="11"/>
        <color theme="1"/>
        <rFont val="Calibri"/>
        <family val="2"/>
        <scheme val="minor"/>
      </rPr>
      <t>Denominator:</t>
    </r>
    <r>
      <rPr>
        <sz val="11"/>
        <color theme="1"/>
        <rFont val="Calibri"/>
        <family val="2"/>
        <scheme val="minor"/>
      </rPr>
      <t xml:space="preserve"> (Q23c - Total - Total) </t>
    </r>
  </si>
  <si>
    <r>
      <rPr>
        <u/>
        <sz val="11"/>
        <color theme="1"/>
        <rFont val="Calibri"/>
        <family val="2"/>
        <scheme val="minor"/>
      </rPr>
      <t>Data Source:</t>
    </r>
    <r>
      <rPr>
        <sz val="11"/>
        <color theme="1"/>
        <rFont val="Calibri"/>
        <family val="2"/>
        <scheme val="minor"/>
      </rPr>
      <t xml:space="preserve"> APR Q6e: Timeliness
</t>
    </r>
    <r>
      <rPr>
        <u/>
        <sz val="11"/>
        <color theme="1"/>
        <rFont val="Calibri"/>
        <family val="2"/>
        <scheme val="minor"/>
      </rPr>
      <t>Numerator</t>
    </r>
    <r>
      <rPr>
        <sz val="11"/>
        <color theme="1"/>
        <rFont val="Calibri"/>
        <family val="2"/>
        <scheme val="minor"/>
      </rPr>
      <t xml:space="preserve">: (Number of Project Start Records-&lt;0 Days + 0 Days + 1-3 Days)
</t>
    </r>
    <r>
      <rPr>
        <u/>
        <sz val="11"/>
        <color theme="1"/>
        <rFont val="Calibri"/>
        <family val="2"/>
        <scheme val="minor"/>
      </rPr>
      <t>Denominator</t>
    </r>
    <r>
      <rPr>
        <sz val="11"/>
        <color theme="1"/>
        <rFont val="Calibri"/>
        <family val="2"/>
        <scheme val="minor"/>
      </rPr>
      <t>: (Number of Project Start Records- &lt;0 Days + 0 Days + 1-3 Days + 4-6 Days + 7-10 Days + 11+ Days)</t>
    </r>
  </si>
  <si>
    <t>1. Review of e-snaps report pulled by DSS
2. Review of Sage APR</t>
  </si>
  <si>
    <t>Review of Sage APR Due Date and APR Submission Date</t>
  </si>
  <si>
    <t>1. Submission of project supportive services agreement
2. Submission of project individualized service plan</t>
  </si>
  <si>
    <r>
      <t xml:space="preserve">Q13a2: Number of Conditions at Start
</t>
    </r>
    <r>
      <rPr>
        <u/>
        <sz val="11"/>
        <color theme="1"/>
        <rFont val="Calibri"/>
        <family val="2"/>
        <scheme val="minor"/>
      </rPr>
      <t>Numerator:</t>
    </r>
    <r>
      <rPr>
        <sz val="11"/>
        <color theme="1"/>
        <rFont val="Calibri"/>
        <family val="2"/>
        <scheme val="minor"/>
      </rPr>
      <t xml:space="preserve"> ((Q13a2. Without Children-2 Conditions + 3+ Conditions) + (Q13a2. Adults in HH With Children and Adults-2 Conditions + 3+ Conditions))
</t>
    </r>
    <r>
      <rPr>
        <u/>
        <sz val="11"/>
        <color theme="1"/>
        <rFont val="Calibri"/>
        <family val="2"/>
        <scheme val="minor"/>
      </rPr>
      <t>Denominator:</t>
    </r>
    <r>
      <rPr>
        <sz val="11"/>
        <color theme="1"/>
        <rFont val="Calibri"/>
        <family val="2"/>
        <scheme val="minor"/>
      </rPr>
      <t xml:space="preserve"> ((Q13a2. Without Children-Total + Q13a2. Adults in HH With Children and Adults Total) –  (Q13a2. Without Children-Client Doesn’t Know/Client Refused + Q13a2. Adults in HH With Children and Adults))</t>
    </r>
  </si>
  <si>
    <r>
      <rPr>
        <u/>
        <sz val="11"/>
        <color theme="1"/>
        <rFont val="Calibri"/>
        <family val="2"/>
        <scheme val="minor"/>
      </rPr>
      <t>Data Source:</t>
    </r>
    <r>
      <rPr>
        <sz val="11"/>
        <color theme="1"/>
        <rFont val="Calibri"/>
        <family val="2"/>
        <scheme val="minor"/>
      </rPr>
      <t xml:space="preserve"> APR Q14a: Domestic Violence History
</t>
    </r>
    <r>
      <rPr>
        <u/>
        <sz val="11"/>
        <color theme="1"/>
        <rFont val="Calibri"/>
        <family val="2"/>
        <scheme val="minor"/>
      </rPr>
      <t>Numerator:</t>
    </r>
    <r>
      <rPr>
        <sz val="11"/>
        <color theme="1"/>
        <rFont val="Calibri"/>
        <family val="2"/>
        <scheme val="minor"/>
      </rPr>
      <t xml:space="preserve"> Q14a Total-Yes 
</t>
    </r>
    <r>
      <rPr>
        <u/>
        <sz val="11"/>
        <color theme="1"/>
        <rFont val="Calibri"/>
        <family val="2"/>
        <scheme val="minor"/>
      </rPr>
      <t>Denominator</t>
    </r>
    <r>
      <rPr>
        <sz val="11"/>
        <color theme="1"/>
        <rFont val="Calibri"/>
        <family val="2"/>
        <scheme val="minor"/>
      </rPr>
      <t>: ((Q14a Total-Total) – (Q14a Total-Client Doesn’t Know/Client Refused))</t>
    </r>
  </si>
  <si>
    <r>
      <rPr>
        <u/>
        <sz val="11"/>
        <color theme="1"/>
        <rFont val="Calibri"/>
        <family val="2"/>
        <scheme val="minor"/>
      </rPr>
      <t>Data Source:</t>
    </r>
    <r>
      <rPr>
        <sz val="11"/>
        <color theme="1"/>
        <rFont val="Calibri"/>
        <family val="2"/>
        <scheme val="minor"/>
      </rPr>
      <t xml:space="preserve"> Q15: Living Situation
</t>
    </r>
    <r>
      <rPr>
        <u/>
        <sz val="11"/>
        <color theme="1"/>
        <rFont val="Calibri"/>
        <family val="2"/>
        <scheme val="minor"/>
      </rPr>
      <t xml:space="preserve">Numerator: </t>
    </r>
    <r>
      <rPr>
        <sz val="11"/>
        <color theme="1"/>
        <rFont val="Calibri"/>
        <family val="2"/>
        <scheme val="minor"/>
      </rPr>
      <t xml:space="preserve">(Q15. Total - Place not meant for habitation)
</t>
    </r>
    <r>
      <rPr>
        <u/>
        <sz val="11"/>
        <color theme="1"/>
        <rFont val="Calibri"/>
        <family val="2"/>
        <scheme val="minor"/>
      </rPr>
      <t>Denominator:</t>
    </r>
    <r>
      <rPr>
        <sz val="11"/>
        <color theme="1"/>
        <rFont val="Calibri"/>
        <family val="2"/>
        <scheme val="minor"/>
      </rPr>
      <t xml:space="preserve"> ((Q15. Total) - (Q15. Client Doesn't Know/Client Refused))</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</si>
  <si>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18-24 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</si>
  <si>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55-64-Total) + (Q11. 65+-Total))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</si>
  <si>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t>Objective Measures: Performance measures that reflect CoC performance goals
Performance-Based Measures: Performance measures that reflect the HUD System Performance Measures (SPM)
Severity of Need Measures: Performance measures that reflect CoC prioritization goals</t>
  </si>
  <si>
    <t>Measure Type</t>
  </si>
  <si>
    <t>Objective</t>
  </si>
  <si>
    <t>Objective &amp; Performance</t>
  </si>
  <si>
    <t xml:space="preserve">e-snaps report </t>
  </si>
  <si>
    <t>Total Possible Bonus Points</t>
  </si>
  <si>
    <t>Objective &amp; Severity of Need</t>
  </si>
  <si>
    <t>Total Bonus Points</t>
  </si>
  <si>
    <t>Measure Type Point Distribution</t>
  </si>
  <si>
    <t xml:space="preserve">All Project Types </t>
  </si>
  <si>
    <t>Points Available</t>
  </si>
  <si>
    <t>Percent of Points</t>
  </si>
  <si>
    <t>Performance</t>
  </si>
  <si>
    <t>Bonus Points (Severity of Need)</t>
  </si>
  <si>
    <t>CoC standard (not required by HUD)</t>
  </si>
  <si>
    <t>VA0398</t>
  </si>
  <si>
    <t>Select project from drop-down</t>
  </si>
  <si>
    <t>Agency Name:</t>
  </si>
  <si>
    <t>Grant Number:</t>
  </si>
  <si>
    <t>Service Provider:</t>
  </si>
  <si>
    <t>Program Name:</t>
  </si>
  <si>
    <t>Project Type:</t>
  </si>
  <si>
    <t>Tenant-Based or Site-Based:</t>
  </si>
  <si>
    <t xml:space="preserve">Total Persons Served: </t>
  </si>
  <si>
    <t>Total Persons Served Who Moved Into Housing:</t>
  </si>
  <si>
    <t xml:space="preserve">Total Households Served: </t>
  </si>
  <si>
    <t>Total Households Served Who Moved Into Housing:</t>
  </si>
  <si>
    <t xml:space="preserve"> Evaluation Criteria</t>
  </si>
  <si>
    <t>Actual Performance</t>
  </si>
  <si>
    <t>Available Points</t>
  </si>
  <si>
    <t>Awarded Points</t>
  </si>
  <si>
    <t>Tenant-Based: 
&lt;=30 days
Site-Based: 
&lt;=14 days</t>
  </si>
  <si>
    <t>PSH Only: Percentage of all participants who remain in PSH or exited to permanent housing</t>
  </si>
  <si>
    <t>Performance total score</t>
  </si>
  <si>
    <t>Data Quality total score</t>
  </si>
  <si>
    <t xml:space="preserve">Match equals or exceeds statutory requirement </t>
  </si>
  <si>
    <t>Submitted on Time</t>
  </si>
  <si>
    <t>Compliance total score</t>
  </si>
  <si>
    <t>Supportive Services Requirements</t>
  </si>
  <si>
    <t>Supportive Services total score</t>
  </si>
  <si>
    <t>Subtotal Score</t>
  </si>
  <si>
    <t>HUD/CoC Priorities- BONUS POINTS</t>
  </si>
  <si>
    <t>Points are awarded propotionately by multiplying the total possible points by the percent of persons served during the report period that meet the condition</t>
  </si>
  <si>
    <t>HUD/CoC Priorities bonus points total score</t>
  </si>
  <si>
    <t>SCORING SUMMARY</t>
  </si>
  <si>
    <t>TOTAL PERFORMANCE (BASE) POINTS</t>
  </si>
  <si>
    <t>TOTAL BONUS POINTS</t>
  </si>
  <si>
    <t>TOTAL SCORE (Pro-rated to 100)</t>
  </si>
  <si>
    <t>Formula = ((Base Points Awarded / Base Points Available for Scoring) * 100) + Bonus Points Awarded)</t>
  </si>
  <si>
    <t>VA0324</t>
  </si>
  <si>
    <t>RRH: Percentage of all leavers who exited to Permanent Housing</t>
  </si>
  <si>
    <t>Grant #</t>
  </si>
  <si>
    <t>Project Component</t>
  </si>
  <si>
    <t>Agency Name</t>
  </si>
  <si>
    <t>Project Name</t>
  </si>
  <si>
    <t>VA0127</t>
  </si>
  <si>
    <t>PH</t>
  </si>
  <si>
    <t>VA0127 PWA PASS PSH</t>
  </si>
  <si>
    <t>VA0130</t>
  </si>
  <si>
    <t>VA0130 PWA Leasing</t>
  </si>
  <si>
    <t>VA0324 ACTS RRH</t>
  </si>
  <si>
    <t>VA0398 PWA PSH Bonus</t>
  </si>
  <si>
    <t>VA0439</t>
  </si>
  <si>
    <t>VA0439 DV Bonus</t>
  </si>
  <si>
    <t>Outcomes</t>
  </si>
  <si>
    <t>Spending</t>
  </si>
  <si>
    <t>Utilization Rate</t>
  </si>
  <si>
    <t>Eligibility: Qualified Homeless Category</t>
  </si>
  <si>
    <t>Eligibility: Chronically Homeless (PSH Only)</t>
  </si>
  <si>
    <t>Average Length of Time to Housing (days)</t>
  </si>
  <si>
    <t>Income Growth: Earned Income</t>
  </si>
  <si>
    <t>Income Growth: Other Income</t>
  </si>
  <si>
    <t>Adults Who Maintained Earned Income</t>
  </si>
  <si>
    <t>Non-Cash Benefits</t>
  </si>
  <si>
    <t>RRH: Length of Stay</t>
  </si>
  <si>
    <t>Exit to PH Destination/Retention -PSH</t>
  </si>
  <si>
    <t xml:space="preserve">Exit to PH Destination - RRH </t>
  </si>
  <si>
    <t>Exit to shelter, street, or unknown</t>
  </si>
  <si>
    <t>Returns- % exits to PH that returned to homelessness in 24 months</t>
  </si>
  <si>
    <t>Timeliness of HMIS Data Entry - Entry Records</t>
  </si>
  <si>
    <t>HUD APR Submission</t>
  </si>
  <si>
    <t>Bonus: Severity of Need - 2+ Disabilities at Entry</t>
  </si>
  <si>
    <t>Bonus: Severity of Need: Domestic Violence History</t>
  </si>
  <si>
    <t xml:space="preserve">Bonus: Severity of Need: Entering from Place Not meant for Habitation </t>
  </si>
  <si>
    <t>Bonus: Severity of Need: % of adults ages 18-24</t>
  </si>
  <si>
    <t>Bonus: Severity of Need: % of adults ages 55+</t>
  </si>
  <si>
    <t>Tenant-Based or Site-Based</t>
  </si>
  <si>
    <t>Notes</t>
  </si>
  <si>
    <t>TEST PSH</t>
  </si>
  <si>
    <t>TEST AGENCY</t>
  </si>
  <si>
    <t>TEST PROJECT PSH</t>
  </si>
  <si>
    <t>This row is test data. If you delete this row, please make sure to delete the test data row from "Raw Project Data" tab</t>
  </si>
  <si>
    <t>TEST RRH</t>
  </si>
  <si>
    <t>TEST PROJECT RRH</t>
  </si>
  <si>
    <t>SCOM</t>
  </si>
  <si>
    <t>HMIS ID 101</t>
  </si>
  <si>
    <t>GSHF</t>
  </si>
  <si>
    <t>HMIS ID 34</t>
  </si>
  <si>
    <t>ACTS</t>
  </si>
  <si>
    <t>HMIS ID 117</t>
  </si>
  <si>
    <t>PHI</t>
  </si>
  <si>
    <t>HMIS ID 167</t>
  </si>
  <si>
    <t>Comparable Site ID 3; HMIS ID 221</t>
  </si>
  <si>
    <t>Tenant-Based or Site-Based?</t>
  </si>
  <si>
    <t>Number of Units in Project, per most recent Renewal App?</t>
  </si>
  <si>
    <t>DV dedicated project? Yes or No</t>
  </si>
  <si>
    <t>% of Match (based on last HUD submitted APR)</t>
  </si>
  <si>
    <t>Grant # on eLOCCS Docs Please insert full grant number (for ex., CT0000LIE011801)</t>
  </si>
  <si>
    <t xml:space="preserve">Total Amount Drawn for Grant Year 
</t>
  </si>
  <si>
    <t>GIW Amount for corresponding grant year (PWC fill in from GIW)</t>
  </si>
  <si>
    <t>Returns - DSS Report/SPM Q2a, Q2b</t>
  </si>
  <si>
    <t xml:space="preserve">Quarterly Draws (confirmed by PWC) - Insert Yes or No </t>
  </si>
  <si>
    <t>APR Submitted on Time (confirmed by PWC) - Insert Yes or No</t>
  </si>
  <si>
    <t>Supportive Services Requirements: Yes or No</t>
  </si>
  <si>
    <t># Count of Clients: Total Number of Persons Served:Q.5: Report Validation Table</t>
  </si>
  <si>
    <t># Count of Clients: Number of adults (ages 18 and over):Q.5: Report Validation Table</t>
  </si>
  <si>
    <t># Project Start Records: Less than 0 days: Q.6e: Data Quality: Timeliness</t>
  </si>
  <si>
    <t># Project Start Records: 0 days: Q.6e: Data Quality: Timeliness</t>
  </si>
  <si>
    <t># Project Start Records: 1-3 days: Q.6e: Data Quality: Timeliness</t>
  </si>
  <si>
    <t># Project Start Records: 4-6 days: Q.6e: Data Quality: Timeliness</t>
  </si>
  <si>
    <t># Project Start Records: 7-10 days: Q.6e: Data Quality: Timeliness</t>
  </si>
  <si>
    <t># Project Start Records: 11+ days: Q.6e: Data Quality: Timeliness</t>
  </si>
  <si>
    <t># Total: Q7a For PSH and RRH - the total persons served who moved into housing</t>
  </si>
  <si>
    <t># Total: Total Households:Q8a: Number of Households Served</t>
  </si>
  <si>
    <t># Total: Q8a For PSH and RRH - the total persons served who moved into housing (households)</t>
  </si>
  <si>
    <t># Total Households:January:Q8b: Point-in-Time Count of Households on the Last Wednesday</t>
  </si>
  <si>
    <t># Total Households:April:Q8b: Point-in-Time Count of Households on the Last Wednesday</t>
  </si>
  <si>
    <t># Total Households:July:Q8b: Point-in-Time Count of Households on the Last Wednesday</t>
  </si>
  <si>
    <t># Total Households:October:Q8b: Point-in-Time Count of Households on the Last Wednesday</t>
  </si>
  <si>
    <t># Total: 18-24: Q11: Age</t>
  </si>
  <si>
    <t># Total: 55-64: Q11: Age</t>
  </si>
  <si>
    <t># Total: 65+: Q11: Age</t>
  </si>
  <si>
    <t># Total: Client Doesn't Know/Prefers Not to Answer: Q11: Age</t>
  </si>
  <si>
    <t>Q13a2|2 Conditions|Without Children</t>
  </si>
  <si>
    <t>Q13a2|2 Conditions|Adults in HH with Children and Adults</t>
  </si>
  <si>
    <t>Q13a2|3+ Conditions|Without Children</t>
  </si>
  <si>
    <t>Q13a2|3+ Conditions|Adults in HH with Children and Adults</t>
  </si>
  <si>
    <t>Q13a2|Total Persons|Without Children</t>
  </si>
  <si>
    <t>Q13a2|Total Persons|Adults in HH with Children and Adults</t>
  </si>
  <si>
    <t>Q13a2|Client doesn't know/Prefers Not to Answer|Without Children</t>
  </si>
  <si>
    <t>Q13a2|Client doesn't know/Prefers Not to Answer|Adults in HH with Children and Adults</t>
  </si>
  <si>
    <t># Total:Yes:Q14a: Domestic Violence History</t>
  </si>
  <si>
    <t># Total:Client Doesn't Know/Prefers Not to Answer:Q14a: Domestic Violence History</t>
  </si>
  <si>
    <t># Total:Total:Q14a: Domestic Violence History</t>
  </si>
  <si>
    <t># Total:Place not meant for habitation:Q15: Living Situation at Project Start</t>
  </si>
  <si>
    <t># Total:Subtotal Homeless Situations:Q15: Living Situation at Project Start</t>
  </si>
  <si>
    <t># Total:Client Doesn't Know/Prefers Not to Answer:Q15: Living Situation at Project Start</t>
  </si>
  <si>
    <t># Total:Total:Q15: Living Situation at Project Start</t>
  </si>
  <si>
    <t>Q18|Adults with Client Doesn't Know/Prefers Not to Answer Income Information|Number of Adults at Annual Assessment (Stayer)</t>
  </si>
  <si>
    <t>Q18|Adults with Client Doesn't Know/Prefers Not to Answer Income Information|Number of Adults at Exit (Leavers)</t>
  </si>
  <si>
    <t>Q18|Number of adult stayers not yet required to have an annual assessment|Number of Adults at Annual Assessment (Stayer)</t>
  </si>
  <si>
    <t>Q18|Total Adults|Number of Adults at Annual Assessment (Stayer)</t>
  </si>
  <si>
    <t>Q18|Total Adults|Number of Adults at Exit (Leavers)</t>
  </si>
  <si>
    <t>Q18|Adults with Only Earned Income|Number of Adults at Annual Assessment (Stayer)</t>
  </si>
  <si>
    <t>Q18|Adults with Only Earned Income|Number of Adults at Exit (Leavers)</t>
  </si>
  <si>
    <t>Q18|Adults with Both Earned and Other Income| Number of Adults at Annual Assessment (Stayer)</t>
  </si>
  <si>
    <t>Q18|Adults with Both Earned and Other Income|Number of Adults at Exit (Leavers)</t>
  </si>
  <si>
    <t>Performance Measure: Adults who Gained or Increased Income from Start to Annual Assessment:# Adults w/ Earned Income:Q19a1: Client Cash Income Change - Income Source - by Start and Latest Status</t>
  </si>
  <si>
    <t>Performance Measure: Adults who Gained or Increased Income from Start to Annual Assessment:# Adults w/ Other Income:Q19a1: Client Cash Income Change - Income Source - by Start and Latest Status</t>
  </si>
  <si>
    <t>Performance Measure: Adults who Gained or Increased Income from Start to Exit:# Adults w/ Earned Income:Q19a2: Client Cash Income Change - Income Source - by Start and Exit</t>
  </si>
  <si>
    <t>Performance Measure: Adults who Gained or Increased Income from Start to Exit:# Adults w/ Other Income:Q19a2: Client Cash Income Change - Income Source - by Start and Exit</t>
  </si>
  <si>
    <t># Stayers:1+ Source(s):Q20b: Number of Non-Cash Benefit Sources</t>
  </si>
  <si>
    <t># Leavers:1+ Source(s):Q20b: Number of Non-Cash Benefit Sources</t>
  </si>
  <si>
    <t># Stayers:Client Doesn't Know/Prefers Not to Answer:Q20b: Number of Non-Cash Benefit Sources</t>
  </si>
  <si>
    <t># Leavers:Client Doesn't Know/Prefers Not to Answer:Q20b: Number of Non-Cash Benefit Sources</t>
  </si>
  <si>
    <t># Stayers:Total:Q20b: Number of Non-Cash Benefit Sources</t>
  </si>
  <si>
    <t># Leavers:Total:Q20b: Number of Non-Cash Benefit Sources</t>
  </si>
  <si>
    <t>Total #:30 days or less:Q22a1: Length of Participation- CoC Projects</t>
  </si>
  <si>
    <t>Total #:31 to 60 days:Q22a1: Length of Participation- CoC Projects</t>
  </si>
  <si>
    <t>Total #:61 to 90 days:Q22a1: Length of Participation- CoC Projects</t>
  </si>
  <si>
    <t>Total #:91 to 180 days:Q22a1: Length of Participation- CoC Projects</t>
  </si>
  <si>
    <t>Total #:Total:Q22a1: Length of Participation- CoC Projects</t>
  </si>
  <si>
    <t># Stayers:Total:Q22a1: Length of Participation- CoC projects</t>
  </si>
  <si>
    <t>Total #: Average length of time to housing: Q22c: Length of Time between Project Start Date and Housing Move-in Date</t>
  </si>
  <si>
    <t># Total:Emergency Shelter:Q23c </t>
  </si>
  <si>
    <t># Total:Place not meant for human habitation:Q23c</t>
  </si>
  <si>
    <t># Total:Client Doesn’t Know/Prefers Not to Answer:Q23c</t>
  </si>
  <si>
    <t># Total:Data Not Collected:Q23c</t>
  </si>
  <si>
    <t># Total:Total:Q23c</t>
  </si>
  <si>
    <t># Total:Total persons exiting to positive housing destinations:Q23c</t>
  </si>
  <si>
    <t># Total:Total persons whose destinations excluded them from the calculation:Q23c</t>
  </si>
  <si>
    <t># Total:Percentage of persons exiting to positive housing destination:Q23c</t>
  </si>
  <si>
    <t xml:space="preserve"># Total:Chronically Homeless:Q26a </t>
  </si>
  <si>
    <t xml:space="preserve"># Total:Client Doesn’t Know/Prefers Not to Answer:Q26a </t>
  </si>
  <si>
    <t xml:space="preserve"># Total:Total:Q26a </t>
  </si>
  <si>
    <t>NOTES</t>
  </si>
  <si>
    <t>Measures 23 - 24</t>
  </si>
  <si>
    <t>This row is test data. If you delete this row, please make sure to delete the test data row from "Scoring Calculator" tab</t>
  </si>
  <si>
    <t>Tenant-Based</t>
  </si>
  <si>
    <t>No</t>
  </si>
  <si>
    <t>TEST</t>
  </si>
  <si>
    <t>Yes</t>
  </si>
  <si>
    <t>Site-Based</t>
  </si>
  <si>
    <t xml:space="preserve"> </t>
  </si>
  <si>
    <t>Q05a: Report Validations Table</t>
  </si>
  <si>
    <t>Count of Clients for DQ</t>
  </si>
  <si>
    <t>Count of Clients</t>
  </si>
  <si>
    <t>Total Number of Persons Served</t>
  </si>
  <si>
    <t>Number of Adults (Age 18 or Over)</t>
  </si>
  <si>
    <t>Number of Children (Under Age 18)</t>
  </si>
  <si>
    <t>Number of Persons with Unknown Age</t>
  </si>
  <si>
    <t>Number of Leavers</t>
  </si>
  <si>
    <t>Number of Adult Leavers</t>
  </si>
  <si>
    <t>Number of Adult and Head of Household Leavers</t>
  </si>
  <si>
    <t>Number of Stayers</t>
  </si>
  <si>
    <t>Number of Adult Stayers</t>
  </si>
  <si>
    <t>Number of Veterans</t>
  </si>
  <si>
    <t>Number of Chronically Homeless Persons</t>
  </si>
  <si>
    <t>Number of Youth Under Age 25</t>
  </si>
  <si>
    <t>Number of Parenting Youth Under Age 25 with Children</t>
  </si>
  <si>
    <t>Number of Adult Heads of Household</t>
  </si>
  <si>
    <t>Number of Child and Unknown-Age Heads of Household</t>
  </si>
  <si>
    <t>Heads of Households and Adult Stayers in the Project 365 Days or More</t>
  </si>
  <si>
    <t>Q6e: Data Quality: Timeliness</t>
  </si>
  <si>
    <t>Number of Project Start Records</t>
  </si>
  <si>
    <t>Number of Project Exit Records</t>
  </si>
  <si>
    <t>&lt;0 days</t>
  </si>
  <si>
    <t>0 days</t>
  </si>
  <si>
    <t>1-3 days</t>
  </si>
  <si>
    <t>4-6 days</t>
  </si>
  <si>
    <t>7-10 days</t>
  </si>
  <si>
    <t>11+ days</t>
  </si>
  <si>
    <t>Q7a: Number of Persons Served</t>
  </si>
  <si>
    <t>Total</t>
  </si>
  <si>
    <t>Without Children</t>
  </si>
  <si>
    <t>With Children and Adults</t>
  </si>
  <si>
    <t>With Only Children</t>
  </si>
  <si>
    <t>Unknown Household Type</t>
  </si>
  <si>
    <t>Adults</t>
  </si>
  <si>
    <t>Children</t>
  </si>
  <si>
    <t>Client Doesn't Know/Prefers Not to Answer</t>
  </si>
  <si>
    <t>Data Not Collected</t>
  </si>
  <si>
    <t xml:space="preserve">Total </t>
  </si>
  <si>
    <t>For PSH &amp; RRH – the total perons served who moved into housing</t>
  </si>
  <si>
    <t>Q8a: Households Served</t>
  </si>
  <si>
    <t>Total Households</t>
  </si>
  <si>
    <t>For PSH &amp; RRH – the total households served who moved into housing</t>
  </si>
  <si>
    <t>Q8b: Point-in-Time Count of Households on the Last Wednesday</t>
  </si>
  <si>
    <t>January</t>
  </si>
  <si>
    <t>April</t>
  </si>
  <si>
    <t>July</t>
  </si>
  <si>
    <t>October</t>
  </si>
  <si>
    <t>Q11: Age</t>
  </si>
  <si>
    <t>Under 5</t>
  </si>
  <si>
    <t>5-12</t>
  </si>
  <si>
    <t>13-17</t>
  </si>
  <si>
    <t>18-24</t>
  </si>
  <si>
    <t>25-34</t>
  </si>
  <si>
    <t>35-44</t>
  </si>
  <si>
    <t>45-54</t>
  </si>
  <si>
    <t>55-64</t>
  </si>
  <si>
    <t>65+</t>
  </si>
  <si>
    <t>Q13a2. Number of Conditions at Start</t>
  </si>
  <si>
    <t>Total Persons</t>
  </si>
  <si>
    <t>Adults in HH with Children &amp; Adults</t>
  </si>
  <si>
    <t>Children in HH with Children &amp; Adults</t>
  </si>
  <si>
    <t>None</t>
  </si>
  <si>
    <t>1 Condition</t>
  </si>
  <si>
    <t>2 Conditions</t>
  </si>
  <si>
    <t>3+ Conditions</t>
  </si>
  <si>
    <t>Condition Unknown</t>
  </si>
  <si>
    <t>Client Doesn't Know/Prefers not to Answer</t>
  </si>
  <si>
    <t>Q14: Domestic Violence</t>
  </si>
  <si>
    <t>Q14a: Domestic Violence History</t>
  </si>
  <si>
    <t>Client Doesn’t Know/Prefers Not to Answer</t>
  </si>
  <si>
    <t>Q15: Living Situation</t>
  </si>
  <si>
    <t>Homeless Situations</t>
  </si>
  <si>
    <t>Place not meant forhabitation</t>
  </si>
  <si>
    <t>Emergency shelter, including hotel or motel paid for with emergency shelter voucher, Host Home shelter</t>
  </si>
  <si>
    <t>Safe Haven</t>
  </si>
  <si>
    <t>Subtotal</t>
  </si>
  <si>
    <t>Institutional Situations</t>
  </si>
  <si>
    <t>Foster care home or foster care group home</t>
  </si>
  <si>
    <t>Hospital or other residential non-psychiatric medical facility</t>
  </si>
  <si>
    <t>Jail, prison, or juvenile detention facility</t>
  </si>
  <si>
    <t>Long-term care facility or nursing home</t>
  </si>
  <si>
    <t>Psychiatric hospital or other psychiatric facility</t>
  </si>
  <si>
    <t>Substance abuse treatment facility or detox center</t>
  </si>
  <si>
    <t>Temporary Situations</t>
  </si>
  <si>
    <t>Transitional housing for homeless persons (including homeless youth)</t>
  </si>
  <si>
    <t>Residential project or halfway house with no homeless criteria</t>
  </si>
  <si>
    <t>Hotel or motel paid for without emergency shelter voucher</t>
  </si>
  <si>
    <t>Host Home (non-crisis)</t>
  </si>
  <si>
    <t>Staying or living in a friend's room, apartment, or house</t>
  </si>
  <si>
    <t>Staying or living in a family member's room, apartment, or house</t>
  </si>
  <si>
    <t>Permanent Situations</t>
  </si>
  <si>
    <t>Rental by client, no ongoing housing subsidy</t>
  </si>
  <si>
    <t>Rental by client, with ongoing housing subsidy</t>
  </si>
  <si>
    <t>Owned by client, with ongoing housing subsidy</t>
  </si>
  <si>
    <t>Owned by client, no ongoing housing subsidy</t>
  </si>
  <si>
    <t>Client Doesn't Know/Perfers Not to Answer</t>
  </si>
  <si>
    <t>Q18: Client Cash Income Category - Earned/Other Income Category - by Start and Annual Assessment/Exit Status</t>
  </si>
  <si>
    <t>Number of Adults at Start</t>
  </si>
  <si>
    <t>Number of Adults at Annual Assessment (Stayers)</t>
  </si>
  <si>
    <t>Number of Adults at Exit (Leavers)</t>
  </si>
  <si>
    <t>Adults with Only Earned Income (i.e., Employment Income)</t>
  </si>
  <si>
    <t>Adults with Only Other Income</t>
  </si>
  <si>
    <t>Adults with Both Earned and Other Income</t>
  </si>
  <si>
    <t>Adults with No Income</t>
  </si>
  <si>
    <t>Adults with Client Doesn't Know/Prefers Not to Answer Income Information</t>
  </si>
  <si>
    <t>Adults with Missing Income Information</t>
  </si>
  <si>
    <t>Number of Adult Stayers Not Yet Required to Have an Annual Assessment</t>
  </si>
  <si>
    <t>Number of Adult Stayers Without Required Annual Assessment</t>
  </si>
  <si>
    <t>Total Adults</t>
  </si>
  <si>
    <t>1 or More Source of Income</t>
  </si>
  <si>
    <t>Adults with Income Information at Start and Annual Assessment/Exit</t>
  </si>
  <si>
    <t>Q19a1: Client Cash Income Change - Income Source - by Start and Latest Status</t>
  </si>
  <si>
    <t>Had Income Category at Start and Did Not Have it at Annual Assessment</t>
  </si>
  <si>
    <t>Retained Income Category But Had Less $ at Annual Assessment Than at Start</t>
  </si>
  <si>
    <t>Retained Income Category and Same $ at Annual Assessment as at Start</t>
  </si>
  <si>
    <t>Retained Income Category and Increased $ at Annual Assessment</t>
  </si>
  <si>
    <t>Did Not have the Income Category at Start and Gained the Income Category at Annual Assessment</t>
  </si>
  <si>
    <t>Did Not have the Income Category at Start or at Annual Assessment</t>
  </si>
  <si>
    <t>Total Adults (Including Those with No Income)</t>
  </si>
  <si>
    <t>Perfomance Measure: Adults Who Gained or Increased Income from Start to Annual Assessment; Average Gain</t>
  </si>
  <si>
    <t>Performance measure: Percent of persons who accomplished this measure</t>
  </si>
  <si>
    <t>Number of Adults with Earned Income (i.e., Employment Income)</t>
  </si>
  <si>
    <t>Average Change in Earned Income</t>
  </si>
  <si>
    <t>-</t>
  </si>
  <si>
    <t>Number of Adults with Other Income</t>
  </si>
  <si>
    <t>Average Change in Other Income</t>
  </si>
  <si>
    <t>Number of Adults with Any Income (i.e., Total Income)</t>
  </si>
  <si>
    <t>Average Change in Overall Income</t>
  </si>
  <si>
    <t>Q19a2: Client Cash Income Change - Income Source - by Start and Exit</t>
  </si>
  <si>
    <t>Had Income Category at Start and Did Not Have it at Exit</t>
  </si>
  <si>
    <t>Retained Income Category but Had Less $ at Exit than at Start</t>
  </si>
  <si>
    <t>Retained Income Category and Same $ at Exit as at Start</t>
  </si>
  <si>
    <t>Retained Income Category and Increased $ at Exit</t>
  </si>
  <si>
    <t>Did Not have the Income Category at Start and Gained the Income Category at Exit</t>
  </si>
  <si>
    <t>Did Not have the Income Category at Start or at Exit</t>
  </si>
  <si>
    <t>Performance Measure: Adults Who Gained or Increased Income from Start to Exit; Average Gain</t>
  </si>
  <si>
    <t>Q20b: Number of Non-Cash Benefit Sources</t>
  </si>
  <si>
    <t>Benefit at Start</t>
  </si>
  <si>
    <t>Benefit at Latest Annual Assessment for Stayers</t>
  </si>
  <si>
    <t>Benefit at Exit for Leavers</t>
  </si>
  <si>
    <t>No sources</t>
  </si>
  <si>
    <t>1+ Source(s)</t>
  </si>
  <si>
    <t>Q22a1: Length of Participation – CoC Projects</t>
  </si>
  <si>
    <t>Leavers</t>
  </si>
  <si>
    <t>Stayers</t>
  </si>
  <si>
    <t>30 Days or Less</t>
  </si>
  <si>
    <t>31 to 60 Days</t>
  </si>
  <si>
    <t>61 to 90 Days</t>
  </si>
  <si>
    <t>91 to 180 Days</t>
  </si>
  <si>
    <t>181 to 365 Days</t>
  </si>
  <si>
    <t>366 to 730 Days (1-2 yrs)</t>
  </si>
  <si>
    <t>731 to 1,095 Days (2-3 yrs)</t>
  </si>
  <si>
    <t>1096 to 1,460 Days (3-4 yrs)</t>
  </si>
  <si>
    <t>1461 to 1,825 Days (4-5 yrs)</t>
  </si>
  <si>
    <t>More than 1,825 Days (&gt;5 yrs)</t>
  </si>
  <si>
    <t>Q22c: Length of Time between Project Start Date and Housing Move-in Date</t>
  </si>
  <si>
    <t/>
  </si>
  <si>
    <t>With Children And Adults</t>
  </si>
  <si>
    <t>Unknown Type</t>
  </si>
  <si>
    <t>7 days or less</t>
  </si>
  <si>
    <t>8 to 14 days</t>
  </si>
  <si>
    <t>15 to 21 days</t>
  </si>
  <si>
    <t>22 to 30 days</t>
  </si>
  <si>
    <t>31 to 60 days</t>
  </si>
  <si>
    <t>61 to 180 days</t>
  </si>
  <si>
    <t>181 to 365 days</t>
  </si>
  <si>
    <t>366 to 730 days (1-2 Yrs)</t>
  </si>
  <si>
    <t>Total (persons moved into housing)</t>
  </si>
  <si>
    <t>Average length of time to housing</t>
  </si>
  <si>
    <t>Persons who were exited without move-in</t>
  </si>
  <si>
    <t>Q23c: Exit Destination</t>
  </si>
  <si>
    <t>Place not meant for habitation (e.g., a vehicle, an abandoned building, bus/train/subway station/airport or anywhere outside)</t>
  </si>
  <si>
    <t>Staying or living with family, temporary tenure (e.g. room, apartment or house)</t>
  </si>
  <si>
    <t>Staying or living with friends, temporary tenure (e.g. room, apartment or house)</t>
  </si>
  <si>
    <t>Moved from one HOPWA funded project to HOPWA TH</t>
  </si>
  <si>
    <t>Staying or living with family, permanent tenure</t>
  </si>
  <si>
    <t>Staying or living with friends, permanent tenure</t>
  </si>
  <si>
    <t>Moved from one HOPWA funded project to HOPWA PH</t>
  </si>
  <si>
    <t>Other Situations</t>
  </si>
  <si>
    <t>No Exit Interview completed</t>
  </si>
  <si>
    <t>Other</t>
  </si>
  <si>
    <t>Deceased</t>
  </si>
  <si>
    <t>TOTAL</t>
  </si>
  <si>
    <t>Total persons exiting to positive housing destinations</t>
  </si>
  <si>
    <t>Total persons exiting to destinations that excluded them from the calculation</t>
  </si>
  <si>
    <t>Percentage of persons exiting to positive housing destinations</t>
  </si>
  <si>
    <t>Q26a: Chronic Homeless Status - Number of Households w/at least one or more CH person</t>
  </si>
  <si>
    <t xml:space="preserve">Chronically Homeless </t>
  </si>
  <si>
    <t xml:space="preserve">Not Chronically Homeless </t>
  </si>
  <si>
    <t>Bonus Points</t>
  </si>
  <si>
    <t>VLookupCode</t>
  </si>
  <si>
    <t>Program Name</t>
  </si>
  <si>
    <t>Review of eLOCCS Voucher Report</t>
  </si>
  <si>
    <t>Review of eLOCCS Budget Report</t>
  </si>
  <si>
    <t>Recipient Name</t>
  </si>
  <si>
    <r>
      <t>Performance Points Available</t>
    </r>
    <r>
      <rPr>
        <b/>
        <sz val="11"/>
        <color rgb="FFFF0000"/>
        <rFont val="Calibri"/>
        <family val="2"/>
        <scheme val="minor"/>
      </rPr>
      <t>*</t>
    </r>
  </si>
  <si>
    <t>Performance Points Earned</t>
  </si>
  <si>
    <t>Bonus Points Earned</t>
  </si>
  <si>
    <t>Score</t>
  </si>
  <si>
    <t>Rank</t>
  </si>
  <si>
    <t>HMIS</t>
  </si>
  <si>
    <t>CoC Planning</t>
  </si>
  <si>
    <t>Performance Points Available</t>
  </si>
  <si>
    <t>Measure 1 (b)</t>
  </si>
  <si>
    <t>Measure 1 (a)</t>
  </si>
  <si>
    <t>Project Info (a)</t>
  </si>
  <si>
    <t>Project Info (b)</t>
  </si>
  <si>
    <t>Project Info (d)</t>
  </si>
  <si>
    <t>Measure 14 (a)</t>
  </si>
  <si>
    <t>Measure 14 (b)</t>
  </si>
  <si>
    <t>Project Info (c)</t>
  </si>
  <si>
    <t>Project Info (e)</t>
  </si>
  <si>
    <t>Project Info (f)</t>
  </si>
  <si>
    <t>Measure 15 (a)</t>
  </si>
  <si>
    <t>Measure 15 (b)</t>
  </si>
  <si>
    <t>Measure 15 (c)</t>
  </si>
  <si>
    <t>Measure 15 (d)</t>
  </si>
  <si>
    <t>Measure 15 (f)</t>
  </si>
  <si>
    <t>Measure 15 (e)</t>
  </si>
  <si>
    <t>Project Info (g)</t>
  </si>
  <si>
    <t>Project Info (h)</t>
  </si>
  <si>
    <t>Project Info (i)</t>
  </si>
  <si>
    <t>Measure 2 (a)</t>
  </si>
  <si>
    <t xml:space="preserve">Measure 5 (a) </t>
  </si>
  <si>
    <t>Measure 16 (a)</t>
  </si>
  <si>
    <t>Measure 17 (a)</t>
  </si>
  <si>
    <t>Measure 18 (a)</t>
  </si>
  <si>
    <t>Measure 19 (a)</t>
  </si>
  <si>
    <t>Measure 2 (b)</t>
  </si>
  <si>
    <t>Measure 2 (c)</t>
  </si>
  <si>
    <t>Meaure 2 (d)</t>
  </si>
  <si>
    <t>Measure 2 (e)</t>
  </si>
  <si>
    <t>Measure 23 (a)</t>
  </si>
  <si>
    <t>Measure 24 (a)</t>
  </si>
  <si>
    <t>Measure 24 (b)</t>
  </si>
  <si>
    <t>Measure 20 (a)</t>
  </si>
  <si>
    <t>Measure 20 (b)</t>
  </si>
  <si>
    <t>Measure 20 (c)</t>
  </si>
  <si>
    <t>Measure 20 (d)</t>
  </si>
  <si>
    <t>Measure 20 (e)</t>
  </si>
  <si>
    <t>Measure 20 (f)</t>
  </si>
  <si>
    <t>Measure 20 (g)</t>
  </si>
  <si>
    <t>Measure 20 (h)</t>
  </si>
  <si>
    <t>Measure 21 (a)</t>
  </si>
  <si>
    <t>Measure 21 (b)</t>
  </si>
  <si>
    <t>Measure 21 (c)</t>
  </si>
  <si>
    <t>Measure 22 (a)</t>
  </si>
  <si>
    <t>Measure 3 (a)</t>
  </si>
  <si>
    <t>Measures 6 - 9 (a)</t>
  </si>
  <si>
    <t>Measures 6 - 9 (b)</t>
  </si>
  <si>
    <t>Measures 6 - 9 (c)</t>
  </si>
  <si>
    <t>Measures 6 - 9 (d)</t>
  </si>
  <si>
    <t>Measures 6 - 9 (e)</t>
  </si>
  <si>
    <t>Measure 8 (a)</t>
  </si>
  <si>
    <t>Measure 8 (b)</t>
  </si>
  <si>
    <t>Measure 8 (c)</t>
  </si>
  <si>
    <t>Measure 8 (d)</t>
  </si>
  <si>
    <t>Measure 6 (a)</t>
  </si>
  <si>
    <t>Measure 7 (a)</t>
  </si>
  <si>
    <t>Measure 6 (b)</t>
  </si>
  <si>
    <t>Measure 7 (b)</t>
  </si>
  <si>
    <t>Measure 9 (a)</t>
  </si>
  <si>
    <t>Measure 9 (b)</t>
  </si>
  <si>
    <t>Measure 9 (c)</t>
  </si>
  <si>
    <t>Measure 9 (d)</t>
  </si>
  <si>
    <t>Measure 9 (e)</t>
  </si>
  <si>
    <t>Measure 9 (f)</t>
  </si>
  <si>
    <r>
      <t xml:space="preserve">Measure 10 (a)
</t>
    </r>
    <r>
      <rPr>
        <i/>
        <sz val="9"/>
        <color theme="1"/>
        <rFont val="Calibri"/>
        <family val="2"/>
        <scheme val="minor"/>
      </rPr>
      <t>(RRH Only)</t>
    </r>
  </si>
  <si>
    <r>
      <t xml:space="preserve">Measure 10 (b)
</t>
    </r>
    <r>
      <rPr>
        <i/>
        <sz val="9"/>
        <color theme="1"/>
        <rFont val="Calibri"/>
        <family val="2"/>
        <scheme val="minor"/>
      </rPr>
      <t>(RRH Only)</t>
    </r>
  </si>
  <si>
    <r>
      <t xml:space="preserve">Measure 10 (c)
</t>
    </r>
    <r>
      <rPr>
        <i/>
        <sz val="9"/>
        <color theme="1"/>
        <rFont val="Calibri"/>
        <family val="2"/>
        <scheme val="minor"/>
      </rPr>
      <t>(RRH Only)</t>
    </r>
  </si>
  <si>
    <r>
      <t xml:space="preserve">Measure 10 (d) 
</t>
    </r>
    <r>
      <rPr>
        <i/>
        <sz val="9"/>
        <color theme="1"/>
        <rFont val="Calibri"/>
        <family val="2"/>
        <scheme val="minor"/>
      </rPr>
      <t>(RRH Only)</t>
    </r>
  </si>
  <si>
    <r>
      <t xml:space="preserve">Measure 10 (e)
</t>
    </r>
    <r>
      <rPr>
        <i/>
        <sz val="9"/>
        <color theme="1"/>
        <rFont val="Calibri"/>
        <family val="2"/>
        <scheme val="minor"/>
      </rPr>
      <t>(RRH Only)</t>
    </r>
  </si>
  <si>
    <t>Measure 5 (b)</t>
  </si>
  <si>
    <t>Measure 13 (a)</t>
  </si>
  <si>
    <t>Measure 13 (b)</t>
  </si>
  <si>
    <r>
      <t xml:space="preserve">Measures 10
</t>
    </r>
    <r>
      <rPr>
        <i/>
        <sz val="9"/>
        <color theme="1"/>
        <rFont val="Calibri"/>
        <family val="2"/>
        <scheme val="minor"/>
      </rPr>
      <t>(RRH Only)</t>
    </r>
    <r>
      <rPr>
        <i/>
        <sz val="10"/>
        <color theme="1"/>
        <rFont val="Calibri"/>
        <family val="2"/>
        <scheme val="minor"/>
      </rPr>
      <t xml:space="preserve">
</t>
    </r>
    <r>
      <rPr>
        <b/>
        <sz val="10"/>
        <color theme="1"/>
        <rFont val="Calibri"/>
        <family val="2"/>
        <scheme val="minor"/>
      </rPr>
      <t xml:space="preserve">Measure 11
</t>
    </r>
    <r>
      <rPr>
        <i/>
        <sz val="9"/>
        <color theme="1"/>
        <rFont val="Calibri"/>
        <family val="2"/>
        <scheme val="minor"/>
      </rPr>
      <t>(PSH Only)</t>
    </r>
  </si>
  <si>
    <t>Measures 11 - 13 (a)</t>
  </si>
  <si>
    <t>Measures 11 - 13 (b)</t>
  </si>
  <si>
    <t>Measures 11 - 13 ©</t>
  </si>
  <si>
    <t>Measures 11 - 13 (d)</t>
  </si>
  <si>
    <t>Measures 11 - 13 (e)</t>
  </si>
  <si>
    <t>Measures 11 - 13 (f)</t>
  </si>
  <si>
    <r>
      <t xml:space="preserve">Measure 4 (a)
</t>
    </r>
    <r>
      <rPr>
        <i/>
        <sz val="9"/>
        <color theme="1"/>
        <rFont val="Calibri"/>
        <family val="2"/>
        <scheme val="minor"/>
      </rPr>
      <t>(PSH Only)</t>
    </r>
  </si>
  <si>
    <r>
      <t xml:space="preserve">Measure 4 (b)
</t>
    </r>
    <r>
      <rPr>
        <i/>
        <sz val="9"/>
        <color theme="1"/>
        <rFont val="Calibri"/>
        <family val="2"/>
        <scheme val="minor"/>
      </rPr>
      <t>(PSH Only)</t>
    </r>
  </si>
  <si>
    <r>
      <t xml:space="preserve">Measure 4 (c)
</t>
    </r>
    <r>
      <rPr>
        <i/>
        <sz val="9"/>
        <color theme="1"/>
        <rFont val="Calibri"/>
        <family val="2"/>
        <scheme val="minor"/>
      </rPr>
      <t>(PSH Only)</t>
    </r>
  </si>
  <si>
    <t>Measure 3 (b)</t>
  </si>
  <si>
    <t>Measure 3 (c)</t>
  </si>
  <si>
    <t>CoC Comments</t>
  </si>
  <si>
    <t>Provider Comments</t>
  </si>
  <si>
    <t>Total Performance Points</t>
  </si>
  <si>
    <r>
      <rPr>
        <u/>
        <sz val="11"/>
        <color theme="1"/>
        <rFont val="Calibri"/>
        <family val="2"/>
        <scheme val="minor"/>
      </rPr>
      <t>Data Source:</t>
    </r>
    <r>
      <rPr>
        <sz val="11"/>
        <color theme="1"/>
        <rFont val="Calibri"/>
        <family val="2"/>
        <scheme val="minor"/>
      </rPr>
      <t xml:space="preserve"> APR for 1/1/2022 - 12/31/2023: Q23c: Exit Destination; SPM Q2a, Q2b: The Extent to which Persons Who Exit Homelessness to Permanent Housing Return to Homelessness within 6, 12, 24 months; DSS Report
</t>
    </r>
    <r>
      <rPr>
        <u/>
        <sz val="11"/>
        <color theme="1"/>
        <rFont val="Calibri"/>
        <family val="2"/>
        <scheme val="minor"/>
      </rPr>
      <t>Numerator:</t>
    </r>
    <r>
      <rPr>
        <sz val="11"/>
        <color theme="1"/>
        <rFont val="Calibri"/>
        <family val="2"/>
        <scheme val="minor"/>
      </rPr>
      <t xml:space="preserve"> Total persons identified on the DSS report that exited to positive housing destinations during the two years prior to the review period (2022 - 2023) that returned to homelessness prior to the end of the review period (2024). DSS Report developed utilizing the system-wide HMIS SPM Report (Q2a, Q2b, Row 5: Exit was from PH, Column 8: Number of Returns in 2 Years)
</t>
    </r>
    <r>
      <rPr>
        <u/>
        <sz val="11"/>
        <color theme="1"/>
        <rFont val="Calibri"/>
        <family val="2"/>
        <scheme val="minor"/>
      </rPr>
      <t>Denominator:</t>
    </r>
    <r>
      <rPr>
        <sz val="11"/>
        <color theme="1"/>
        <rFont val="Calibri"/>
        <family val="2"/>
        <scheme val="minor"/>
      </rPr>
      <t xml:space="preserve"> Q23c Total persons exiting to positive housing destinations two years prior to review period (2022 - 2023)</t>
    </r>
  </si>
  <si>
    <t>PWA CoC Renewal Project Scoring Tool - Evaluation Standards</t>
  </si>
  <si>
    <t>The time period used to measure performance will be: 01/01/2025 - 12/31/2025
Financial data will be measured based on the program year that ended during this report period
Projects that were not operational for one full program year will not be competively scored</t>
  </si>
  <si>
    <r>
      <rPr>
        <u/>
        <sz val="11"/>
        <color theme="1"/>
        <rFont val="Calibri"/>
        <family val="2"/>
        <scheme val="minor"/>
      </rPr>
      <t>Data Source</t>
    </r>
    <r>
      <rPr>
        <sz val="11"/>
        <color theme="1"/>
        <rFont val="Calibri"/>
        <family val="2"/>
        <scheme val="minor"/>
      </rPr>
      <t xml:space="preserve">: APR Q8b Point-in-Time Count of Households on the Last Wednesday; most recent Project App # Units
</t>
    </r>
    <r>
      <rPr>
        <u/>
        <sz val="11"/>
        <color theme="1"/>
        <rFont val="Calibri"/>
        <family val="2"/>
        <scheme val="minor"/>
      </rPr>
      <t>Numerator:</t>
    </r>
    <r>
      <rPr>
        <sz val="11"/>
        <color theme="1"/>
        <rFont val="Calibri"/>
        <family val="2"/>
        <scheme val="minor"/>
      </rPr>
      <t xml:space="preserve"> Average of Q8b Point-in-Time Count of Households Served on the Last Wednesday in January, April, July and October
</t>
    </r>
    <r>
      <rPr>
        <u/>
        <sz val="11"/>
        <color theme="1"/>
        <rFont val="Calibri"/>
        <family val="2"/>
        <scheme val="minor"/>
      </rPr>
      <t>Denominator:</t>
    </r>
    <r>
      <rPr>
        <sz val="11"/>
        <color theme="1"/>
        <rFont val="Calibri"/>
        <family val="2"/>
        <scheme val="minor"/>
      </rPr>
      <t xml:space="preserve">  # Units per most recent Project Application</t>
    </r>
  </si>
  <si>
    <t>Benchmark</t>
  </si>
  <si>
    <t>Points</t>
  </si>
  <si>
    <t>Scoring Intervals</t>
  </si>
  <si>
    <t>PWA CoC Renewal Project Scoring Tool
Appendix: Evaluation Standards Measure Types</t>
  </si>
  <si>
    <t>HUD Standard per most recent NOFO</t>
  </si>
  <si>
    <t>Renewal Project Scoring - HMIS CoC APR Tables - Cells to Use</t>
  </si>
  <si>
    <t>Project Name (Sage)</t>
  </si>
  <si>
    <t>VA0398L3G042304</t>
  </si>
  <si>
    <t>VA0439D3G042302</t>
  </si>
  <si>
    <t>VA0130L3G042316</t>
  </si>
  <si>
    <t>VA0324L3G042307</t>
  </si>
  <si>
    <t>VA0127L3G042314</t>
  </si>
  <si>
    <t>Projects contract start date for the last fully completed grant year (mm/dd/yyyy)</t>
  </si>
  <si>
    <t>Projects contract end date for the last fully completed grant year (mm/dd/yyyy)</t>
  </si>
  <si>
    <t>APR for 1/1/2025 - 12/31/2025: Q23c Total persons exiting to positive housing destinations</t>
  </si>
  <si>
    <t>PWA CoC Renewal Project Ranking</t>
  </si>
  <si>
    <t>01/01/25 - 12/31/25</t>
  </si>
  <si>
    <t>Report Period:</t>
  </si>
  <si>
    <t>Upper Benchmark</t>
  </si>
  <si>
    <t>Prince William Area CoC - Renewal Project Evaluation Report - PSH</t>
  </si>
  <si>
    <t>Prince William Area CoC - Renewal Project Evaluation Report - RRH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</si>
</sst>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color rgb="FF000000"/>
      <name val="Calibri"/>
      <family val="2"/>
    </font>
    <font>
      <b/>
      <sz val="11"/>
      <color rgb="FF000000"/>
      <name val="Calibri"/>
      <family val="2"/>
    </font>
    <font>
      <sz val="11"/>
      <name val="Calibri"/>
      <family val="2"/>
      <scheme val="minor"/>
    </font>
    <font>
      <b/>
      <sz val="11"/>
      <color theme="0"/>
      <name val="Calibri"/>
      <family val="2"/>
      <scheme val="minor"/>
    </font>
    <font>
      <b/>
      <sz val="11"/>
      <name val="Calibri"/>
      <family val="2"/>
      <scheme val="minor"/>
    </font>
    <font>
      <b/>
      <sz val="11"/>
      <color theme="0"/>
      <name val="Calibri"/>
      <family val="2"/>
    </font>
    <font>
      <b/>
      <sz val="11"/>
      <name val="Calibri"/>
      <family val="2"/>
    </font>
    <font>
      <sz val="11"/>
      <color rgb="FF000000"/>
      <name val="Calibri"/>
      <family val="2"/>
      <charset val="204"/>
    </font>
    <font>
      <b/>
      <sz val="11"/>
      <color rgb="FFFFFFFF"/>
      <name val="Calibri"/>
      <family val="2"/>
    </font>
    <font>
      <u/>
      <sz val="11"/>
      <color theme="10"/>
      <name val="Calibri"/>
      <family val="2"/>
      <scheme val="minor"/>
    </font>
    <font>
      <b/>
      <i/>
      <sz val="11"/>
      <name val="Calibri"/>
      <family val="2"/>
    </font>
    <font>
      <sz val="11"/>
      <color theme="0"/>
      <name val="Calibri"/>
      <family val="2"/>
    </font>
    <font>
      <b/>
      <i/>
      <sz val="11"/>
      <color rgb="FF000000"/>
      <name val="Calibri"/>
      <family val="2"/>
    </font>
    <font>
      <u/>
      <sz val="11"/>
      <color theme="1"/>
      <name val="Calibri"/>
      <family val="2"/>
      <scheme val="minor"/>
    </font>
    <font>
      <b/>
      <i/>
      <sz val="11"/>
      <color theme="1"/>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b/>
      <sz val="10"/>
      <color rgb="FF000000"/>
      <name val="Calibri"/>
      <family val="2"/>
    </font>
    <font>
      <b/>
      <sz val="11"/>
      <color rgb="FFFFFF00"/>
      <name val="Calibri"/>
      <family val="2"/>
    </font>
    <font>
      <i/>
      <sz val="11"/>
      <color rgb="FF000000"/>
      <name val="Calibri"/>
      <family val="2"/>
    </font>
    <font>
      <b/>
      <sz val="10"/>
      <color rgb="FF000000"/>
      <name val="Calibri"/>
      <family val="2"/>
      <scheme val="minor"/>
    </font>
    <font>
      <b/>
      <sz val="12"/>
      <color theme="0"/>
      <name val="Calibri"/>
      <family val="2"/>
      <scheme val="minor"/>
    </font>
    <font>
      <b/>
      <sz val="8"/>
      <color theme="1"/>
      <name val="Calibri"/>
      <family val="2"/>
      <scheme val="minor"/>
    </font>
    <font>
      <b/>
      <sz val="9"/>
      <color theme="0"/>
      <name val="Calibri"/>
      <family val="2"/>
      <scheme val="minor"/>
    </font>
    <font>
      <b/>
      <sz val="12"/>
      <name val="Calibri"/>
      <family val="2"/>
    </font>
    <font>
      <sz val="10"/>
      <color theme="1"/>
      <name val="Calibri"/>
      <family val="2"/>
      <scheme val="minor"/>
    </font>
    <font>
      <b/>
      <sz val="10"/>
      <color theme="1"/>
      <name val="Calibri"/>
      <family val="2"/>
      <scheme val="minor"/>
    </font>
    <font>
      <sz val="11"/>
      <color theme="1"/>
      <name val="Calibri"/>
      <family val="2"/>
    </font>
    <font>
      <sz val="11"/>
      <color rgb="FF212529"/>
      <name val="Calibri"/>
      <family val="2"/>
    </font>
    <font>
      <b/>
      <sz val="11"/>
      <color rgb="FF212529"/>
      <name val="Calibri"/>
      <family val="2"/>
    </font>
    <font>
      <b/>
      <sz val="12"/>
      <color theme="0"/>
      <name val="Calibri"/>
      <family val="2"/>
    </font>
    <font>
      <u/>
      <sz val="11"/>
      <color theme="0"/>
      <name val="Calibri"/>
      <family val="2"/>
    </font>
    <font>
      <sz val="8"/>
      <name val="Calibri"/>
      <family val="2"/>
      <scheme val="minor"/>
    </font>
    <font>
      <i/>
      <sz val="9"/>
      <color theme="1"/>
      <name val="Calibri"/>
      <family val="2"/>
      <scheme val="minor"/>
    </font>
    <font>
      <b/>
      <sz val="11"/>
      <color theme="1"/>
      <name val="Calibri"/>
      <family val="2"/>
    </font>
    <font>
      <i/>
      <sz val="10"/>
      <color theme="1"/>
      <name val="Calibri"/>
      <family val="2"/>
      <scheme val="minor"/>
    </font>
    <font>
      <u/>
      <sz val="11"/>
      <name val="Calibri"/>
      <family val="2"/>
      <scheme val="minor"/>
    </font>
    <font>
      <sz val="10"/>
      <color rgb="FF000000"/>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i/>
      <sz val="11"/>
      <color rgb="FF000000"/>
      <name val="Calibri"/>
      <family val="2"/>
      <scheme val="minor"/>
    </font>
    <font>
      <sz val="9"/>
      <color indexed="81"/>
      <name val="Tahoma"/>
      <charset val="1"/>
    </font>
  </fonts>
  <fills count="3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2060"/>
        <bgColor indexed="64"/>
      </patternFill>
    </fill>
    <fill>
      <patternFill patternType="solid">
        <fgColor theme="9"/>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tint="0.59999389629810485"/>
        <bgColor indexed="64"/>
      </patternFill>
    </fill>
  </fills>
  <borders count="1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auto="1"/>
      </left>
      <right style="thin">
        <color auto="1"/>
      </right>
      <top style="thick">
        <color auto="1"/>
      </top>
      <bottom style="thin">
        <color auto="1"/>
      </bottom>
      <diagonal/>
    </border>
    <border>
      <left style="thick">
        <color rgb="FFFF0000"/>
      </left>
      <right style="thick">
        <color rgb="FFFF0000"/>
      </right>
      <top style="thick">
        <color rgb="FFFF0000"/>
      </top>
      <bottom style="thick">
        <color rgb="FFFF0000"/>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bottom style="thick">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ck">
        <color auto="1"/>
      </right>
      <top/>
      <bottom style="thick">
        <color auto="1"/>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rgb="FFBBBBBB"/>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rgb="FFFF0000"/>
      </left>
      <right style="thick">
        <color auto="1"/>
      </right>
      <top style="thick">
        <color rgb="FFFF0000"/>
      </top>
      <bottom style="thick">
        <color rgb="FFFF0000"/>
      </bottom>
      <diagonal/>
    </border>
    <border>
      <left style="thin">
        <color auto="1"/>
      </left>
      <right style="thin">
        <color auto="1"/>
      </right>
      <top style="thick">
        <color auto="1"/>
      </top>
      <bottom/>
      <diagonal/>
    </border>
    <border>
      <left/>
      <right style="thick">
        <color auto="1"/>
      </right>
      <top/>
      <bottom/>
      <diagonal/>
    </border>
    <border>
      <left style="thin">
        <color indexed="64"/>
      </left>
      <right/>
      <top/>
      <bottom style="thin">
        <color rgb="FF000000"/>
      </bottom>
      <diagonal/>
    </border>
    <border>
      <left/>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thin">
        <color auto="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ck">
        <color rgb="FFFF0000"/>
      </top>
      <bottom style="thin">
        <color theme="1"/>
      </bottom>
      <diagonal/>
    </border>
    <border>
      <left style="thin">
        <color theme="1"/>
      </left>
      <right style="thin">
        <color theme="1"/>
      </right>
      <top style="thin">
        <color theme="1"/>
      </top>
      <bottom/>
      <diagonal/>
    </border>
    <border>
      <left style="thin">
        <color indexed="64"/>
      </left>
      <right/>
      <top/>
      <bottom/>
      <diagonal/>
    </border>
    <border>
      <left/>
      <right style="thin">
        <color indexed="0"/>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ck">
        <color auto="1"/>
      </right>
      <top/>
      <bottom/>
      <diagonal/>
    </border>
    <border>
      <left style="thin">
        <color auto="1"/>
      </left>
      <right/>
      <top/>
      <bottom/>
      <diagonal/>
    </border>
    <border>
      <left/>
      <right style="thin">
        <color indexed="64"/>
      </right>
      <top/>
      <bottom/>
      <diagonal/>
    </border>
    <border>
      <left style="thick">
        <color auto="1"/>
      </left>
      <right/>
      <top style="thin">
        <color auto="1"/>
      </top>
      <bottom/>
      <diagonal/>
    </border>
    <border>
      <left/>
      <right style="thick">
        <color auto="1"/>
      </right>
      <top style="thin">
        <color auto="1"/>
      </top>
      <bottom/>
      <diagonal/>
    </border>
    <border>
      <left style="thin">
        <color auto="1"/>
      </left>
      <right style="thick">
        <color auto="1"/>
      </right>
      <top style="thin">
        <color auto="1"/>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rgb="FF000000"/>
      </left>
      <right/>
      <top style="thin">
        <color auto="1"/>
      </top>
      <bottom style="thin">
        <color rgb="FF000000"/>
      </bottom>
      <diagonal/>
    </border>
    <border>
      <left/>
      <right style="thin">
        <color indexed="64"/>
      </right>
      <top style="thin">
        <color auto="1"/>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indexed="0"/>
      </right>
      <top style="thin">
        <color indexed="0"/>
      </top>
      <bottom/>
      <diagonal/>
    </border>
    <border>
      <left/>
      <right/>
      <top style="thin">
        <color indexed="0"/>
      </top>
      <bottom style="thin">
        <color indexed="0"/>
      </bottom>
      <diagonal/>
    </border>
    <border>
      <left style="thin">
        <color indexed="8"/>
      </left>
      <right style="thin">
        <color indexed="8"/>
      </right>
      <top style="thin">
        <color indexed="8"/>
      </top>
      <bottom/>
      <diagonal/>
    </border>
    <border>
      <left style="thin">
        <color indexed="64"/>
      </left>
      <right/>
      <top style="thin">
        <color indexed="0"/>
      </top>
      <bottom style="thin">
        <color indexed="0"/>
      </bottom>
      <diagonal/>
    </border>
    <border>
      <left/>
      <right style="thin">
        <color indexed="8"/>
      </right>
      <top style="thin">
        <color indexed="0"/>
      </top>
      <bottom style="thin">
        <color indexed="0"/>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diagonal/>
    </border>
    <border>
      <left style="thin">
        <color indexed="64"/>
      </left>
      <right/>
      <top style="thin">
        <color indexed="0"/>
      </top>
      <bottom/>
      <diagonal/>
    </border>
    <border>
      <left/>
      <right/>
      <top style="thin">
        <color indexed="0"/>
      </top>
      <bottom/>
      <diagonal/>
    </border>
    <border>
      <left/>
      <right style="thin">
        <color indexed="64"/>
      </right>
      <top style="thin">
        <color indexed="0"/>
      </top>
      <bottom/>
      <diagonal/>
    </border>
    <border>
      <left style="thin">
        <color indexed="64"/>
      </left>
      <right/>
      <top style="thin">
        <color indexed="0"/>
      </top>
      <bottom style="thin">
        <color indexed="64"/>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indexed="0"/>
      </top>
      <bottom style="thin">
        <color auto="1"/>
      </bottom>
      <diagonal/>
    </border>
    <border>
      <left/>
      <right/>
      <top style="thin">
        <color indexed="0"/>
      </top>
      <bottom style="thin">
        <color auto="1"/>
      </bottom>
      <diagonal/>
    </border>
    <border>
      <left/>
      <right style="thin">
        <color auto="1"/>
      </right>
      <top style="thin">
        <color indexed="0"/>
      </top>
      <bottom style="thin">
        <color auto="1"/>
      </bottom>
      <diagonal/>
    </border>
    <border>
      <left style="thin">
        <color indexed="0"/>
      </left>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0"/>
      </left>
      <right/>
      <top style="thin">
        <color indexed="0"/>
      </top>
      <bottom/>
      <diagonal/>
    </border>
    <border>
      <left style="thin">
        <color auto="1"/>
      </left>
      <right style="thin">
        <color auto="1"/>
      </right>
      <top/>
      <bottom style="thin">
        <color auto="1"/>
      </bottom>
      <diagonal/>
    </border>
    <border>
      <left style="thin">
        <color indexed="64"/>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64"/>
      </right>
      <top/>
      <bottom style="thin">
        <color indexed="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auto="1"/>
      </right>
      <top/>
      <bottom style="thin">
        <color auto="1"/>
      </bottom>
      <diagonal/>
    </border>
    <border>
      <left/>
      <right style="thin">
        <color rgb="FF000000"/>
      </right>
      <top style="thin">
        <color indexed="64"/>
      </top>
      <bottom style="thin">
        <color indexed="64"/>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rgb="FFFF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ck">
        <color rgb="FFFF0000"/>
      </bottom>
      <diagonal/>
    </border>
    <border>
      <left style="thin">
        <color indexed="64"/>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s>
  <cellStyleXfs count="6">
    <xf numFmtId="0" fontId="0" fillId="0" borderId="0"/>
    <xf numFmtId="9" fontId="1" fillId="0" borderId="0" applyFont="0" applyFill="0" applyBorder="0" applyAlignment="0" applyProtection="0"/>
    <xf numFmtId="0" fontId="3" fillId="0" borderId="0"/>
    <xf numFmtId="9" fontId="4" fillId="0" borderId="0">
      <alignment vertical="top"/>
      <protection locked="0"/>
    </xf>
    <xf numFmtId="0" fontId="11" fillId="0" borderId="0"/>
    <xf numFmtId="0" fontId="13" fillId="0" borderId="0" applyNumberFormat="0" applyFill="0" applyBorder="0" applyAlignment="0" applyProtection="0"/>
  </cellStyleXfs>
  <cellXfs count="709">
    <xf numFmtId="0" fontId="0" fillId="0" borderId="0" xfId="0"/>
    <xf numFmtId="0" fontId="0" fillId="0" borderId="0" xfId="0" applyAlignment="1">
      <alignment horizontal="center" wrapText="1"/>
    </xf>
    <xf numFmtId="0" fontId="0" fillId="0" borderId="0" xfId="0" applyAlignment="1">
      <alignment vertical="center"/>
    </xf>
    <xf numFmtId="0" fontId="0" fillId="0" borderId="0" xfId="0"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2" fillId="5" borderId="0" xfId="0" applyFont="1" applyFill="1" applyAlignment="1">
      <alignment horizontal="left" vertical="center"/>
    </xf>
    <xf numFmtId="0" fontId="5" fillId="0" borderId="0" xfId="2" applyFont="1" applyAlignment="1">
      <alignment horizontal="left" vertical="center"/>
    </xf>
    <xf numFmtId="0" fontId="0" fillId="0" borderId="0" xfId="0" applyAlignment="1">
      <alignment horizontal="left" vertical="center"/>
    </xf>
    <xf numFmtId="0" fontId="0" fillId="5" borderId="0" xfId="0" applyFill="1" applyAlignment="1">
      <alignment horizontal="left" vertical="center"/>
    </xf>
    <xf numFmtId="0" fontId="0" fillId="0" borderId="0" xfId="0" applyAlignment="1">
      <alignment horizontal="center" vertical="center"/>
    </xf>
    <xf numFmtId="0" fontId="0" fillId="5" borderId="0" xfId="0" applyFill="1" applyAlignment="1">
      <alignment horizontal="center" vertical="center"/>
    </xf>
    <xf numFmtId="0" fontId="5" fillId="0" borderId="0" xfId="2" applyFont="1" applyAlignment="1">
      <alignment horizontal="center" vertical="center"/>
    </xf>
    <xf numFmtId="0" fontId="0" fillId="0" borderId="0" xfId="0" applyAlignment="1">
      <alignment horizontal="right" vertical="center"/>
    </xf>
    <xf numFmtId="0" fontId="0" fillId="5" borderId="0" xfId="0" applyFill="1" applyAlignment="1">
      <alignment horizontal="right" vertical="center"/>
    </xf>
    <xf numFmtId="0" fontId="0" fillId="0" borderId="0" xfId="0" applyAlignment="1">
      <alignment horizontal="left" vertical="center" wrapText="1"/>
    </xf>
    <xf numFmtId="0" fontId="0" fillId="0" borderId="0" xfId="0"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19" fillId="0" borderId="0" xfId="2" applyFont="1" applyAlignment="1">
      <alignment horizontal="left" vertical="center" wrapText="1"/>
    </xf>
    <xf numFmtId="0" fontId="19" fillId="0" borderId="0" xfId="2" applyFont="1" applyAlignment="1">
      <alignment horizontal="center" vertical="center" wrapText="1"/>
    </xf>
    <xf numFmtId="0" fontId="0" fillId="0" borderId="0" xfId="0" applyAlignment="1">
      <alignment horizontal="right" vertical="center" wrapText="1"/>
    </xf>
    <xf numFmtId="0" fontId="2" fillId="0" borderId="0" xfId="0" applyFont="1" applyAlignment="1">
      <alignment horizontal="left" vertical="center" indent="1"/>
    </xf>
    <xf numFmtId="0" fontId="0" fillId="0" borderId="0" xfId="0" applyAlignment="1">
      <alignment horizontal="left" vertical="center" wrapText="1" indent="1"/>
    </xf>
    <xf numFmtId="0" fontId="3" fillId="0" borderId="0" xfId="0" applyFont="1"/>
    <xf numFmtId="0" fontId="3" fillId="0" borderId="17" xfId="0" applyFont="1" applyBorder="1" applyAlignment="1">
      <alignment vertical="top" wrapText="1"/>
    </xf>
    <xf numFmtId="0" fontId="3" fillId="0" borderId="0" xfId="0" applyFont="1" applyAlignment="1">
      <alignment vertical="top" wrapText="1"/>
    </xf>
    <xf numFmtId="0" fontId="10" fillId="0" borderId="1" xfId="4" applyFont="1" applyBorder="1" applyAlignment="1" applyProtection="1">
      <alignment horizontal="left" vertical="center" wrapText="1"/>
      <protection locked="0"/>
    </xf>
    <xf numFmtId="0" fontId="5" fillId="0" borderId="0" xfId="4" applyFont="1" applyAlignment="1" applyProtection="1">
      <alignment horizontal="center" vertical="center"/>
      <protection locked="0"/>
    </xf>
    <xf numFmtId="0" fontId="11" fillId="0" borderId="0" xfId="4" applyProtection="1">
      <protection locked="0"/>
    </xf>
    <xf numFmtId="0" fontId="10" fillId="0" borderId="13" xfId="4" applyFont="1" applyBorder="1" applyAlignment="1" applyProtection="1">
      <alignment vertical="center" wrapText="1"/>
      <protection locked="0"/>
    </xf>
    <xf numFmtId="0" fontId="10" fillId="0" borderId="1" xfId="4" applyFont="1" applyBorder="1" applyAlignment="1" applyProtection="1">
      <alignment horizontal="center" vertical="center" wrapText="1"/>
      <protection locked="0"/>
    </xf>
    <xf numFmtId="0" fontId="9" fillId="20" borderId="21" xfId="4" applyFont="1" applyFill="1" applyBorder="1" applyAlignment="1" applyProtection="1">
      <alignment horizontal="center" vertical="center" wrapText="1"/>
      <protection locked="0"/>
    </xf>
    <xf numFmtId="0" fontId="9" fillId="20" borderId="20" xfId="4" applyFont="1" applyFill="1" applyBorder="1" applyAlignment="1" applyProtection="1">
      <alignment horizontal="center" vertical="center" wrapText="1"/>
      <protection locked="0"/>
    </xf>
    <xf numFmtId="0" fontId="11" fillId="0" borderId="0" xfId="4" applyAlignment="1" applyProtection="1">
      <alignment wrapText="1"/>
      <protection locked="0"/>
    </xf>
    <xf numFmtId="0" fontId="11" fillId="0" borderId="0" xfId="4" applyAlignment="1" applyProtection="1">
      <alignment horizontal="center" wrapText="1"/>
      <protection locked="0"/>
    </xf>
    <xf numFmtId="0" fontId="0" fillId="0" borderId="0" xfId="0" applyAlignment="1">
      <alignment horizontal="left" vertical="center" wrapText="1" indent="2"/>
    </xf>
    <xf numFmtId="0" fontId="5" fillId="0" borderId="0" xfId="4" applyFont="1" applyAlignment="1">
      <alignment horizontal="center" vertical="center"/>
    </xf>
    <xf numFmtId="0" fontId="9" fillId="0" borderId="0" xfId="4" applyFont="1" applyAlignment="1">
      <alignment horizontal="center" vertical="center"/>
    </xf>
    <xf numFmtId="0" fontId="11" fillId="0" borderId="0" xfId="4" applyAlignment="1" applyProtection="1">
      <alignment horizontal="left" wrapText="1"/>
      <protection locked="0"/>
    </xf>
    <xf numFmtId="0" fontId="2" fillId="5" borderId="0" xfId="0" applyFont="1" applyFill="1" applyAlignment="1">
      <alignment horizontal="center" vertical="center"/>
    </xf>
    <xf numFmtId="0" fontId="0" fillId="0" borderId="0" xfId="0" applyAlignment="1">
      <alignment horizontal="left"/>
    </xf>
    <xf numFmtId="0" fontId="0" fillId="0" borderId="0" xfId="0" applyAlignment="1">
      <alignment horizontal="left" wrapText="1"/>
    </xf>
    <xf numFmtId="0" fontId="10" fillId="0" borderId="18" xfId="4" applyFont="1" applyBorder="1" applyAlignment="1" applyProtection="1">
      <alignment vertical="center" wrapText="1"/>
      <protection locked="0"/>
    </xf>
    <xf numFmtId="0" fontId="30" fillId="0" borderId="0" xfId="0" applyFont="1" applyAlignment="1">
      <alignment horizontal="center" vertical="center"/>
    </xf>
    <xf numFmtId="0" fontId="2" fillId="0" borderId="0" xfId="0" applyFont="1" applyAlignment="1">
      <alignment horizontal="center" textRotation="90" wrapText="1"/>
    </xf>
    <xf numFmtId="0" fontId="30" fillId="0" borderId="0" xfId="0" applyFont="1" applyAlignment="1">
      <alignment vertical="center"/>
    </xf>
    <xf numFmtId="0" fontId="32" fillId="0" borderId="0" xfId="0" applyFont="1" applyAlignment="1">
      <alignment wrapText="1"/>
    </xf>
    <xf numFmtId="0" fontId="32" fillId="0" borderId="0" xfId="0" applyFont="1"/>
    <xf numFmtId="0" fontId="9" fillId="20" borderId="24" xfId="0" applyFont="1" applyFill="1" applyBorder="1" applyAlignment="1">
      <alignment horizontal="left" vertical="center" wrapText="1"/>
    </xf>
    <xf numFmtId="0" fontId="9" fillId="20" borderId="7" xfId="0" applyFont="1" applyFill="1" applyBorder="1" applyAlignment="1">
      <alignment horizontal="left" vertical="center" wrapText="1"/>
    </xf>
    <xf numFmtId="0" fontId="9" fillId="20" borderId="25" xfId="0" applyFont="1" applyFill="1" applyBorder="1" applyAlignment="1">
      <alignment horizontal="left" vertical="center" wrapText="1"/>
    </xf>
    <xf numFmtId="0" fontId="33" fillId="3" borderId="26" xfId="0" applyFont="1" applyFill="1" applyBorder="1" applyAlignment="1">
      <alignment horizontal="center" vertical="center" wrapText="1"/>
    </xf>
    <xf numFmtId="0" fontId="33" fillId="0" borderId="0" xfId="0" applyFont="1" applyAlignment="1">
      <alignment horizontal="left" vertical="center" wrapText="1"/>
    </xf>
    <xf numFmtId="0" fontId="9" fillId="20" borderId="5" xfId="0" applyFont="1" applyFill="1" applyBorder="1" applyAlignment="1">
      <alignment horizontal="left" vertical="center" wrapText="1"/>
    </xf>
    <xf numFmtId="0" fontId="9" fillId="20" borderId="8" xfId="0" applyFont="1" applyFill="1" applyBorder="1" applyAlignment="1">
      <alignment horizontal="left" vertical="center" wrapText="1"/>
    </xf>
    <xf numFmtId="0" fontId="33" fillId="0" borderId="10" xfId="0" applyFont="1" applyBorder="1" applyAlignment="1">
      <alignment horizontal="left" vertical="center" wrapText="1"/>
    </xf>
    <xf numFmtId="0" fontId="32" fillId="0" borderId="0" xfId="0" applyFont="1" applyAlignment="1">
      <alignment horizontal="left" vertical="center" wrapText="1"/>
    </xf>
    <xf numFmtId="10" fontId="33" fillId="0" borderId="0" xfId="0" applyNumberFormat="1" applyFont="1" applyAlignment="1">
      <alignment horizontal="left" vertical="center" wrapText="1"/>
    </xf>
    <xf numFmtId="0" fontId="32" fillId="0" borderId="0" xfId="0" applyFont="1" applyAlignment="1">
      <alignment vertical="center" wrapText="1"/>
    </xf>
    <xf numFmtId="0" fontId="32" fillId="0" borderId="0" xfId="0" applyFont="1" applyAlignment="1">
      <alignment vertical="center"/>
    </xf>
    <xf numFmtId="0" fontId="9" fillId="20" borderId="27" xfId="0" applyFont="1" applyFill="1" applyBorder="1" applyAlignment="1">
      <alignment horizontal="left" vertical="center" wrapText="1"/>
    </xf>
    <xf numFmtId="0" fontId="33" fillId="3" borderId="6" xfId="0" applyFont="1" applyFill="1" applyBorder="1" applyAlignment="1">
      <alignment horizontal="center" vertical="center" wrapText="1"/>
    </xf>
    <xf numFmtId="0" fontId="36" fillId="20" borderId="7" xfId="5" applyFont="1" applyFill="1" applyBorder="1" applyAlignment="1">
      <alignment horizontal="right" vertical="center"/>
    </xf>
    <xf numFmtId="0" fontId="15" fillId="20" borderId="7" xfId="0" applyFont="1" applyFill="1" applyBorder="1"/>
    <xf numFmtId="0" fontId="15" fillId="20" borderId="8" xfId="0" applyFont="1" applyFill="1" applyBorder="1"/>
    <xf numFmtId="0" fontId="33"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6" fillId="20" borderId="7" xfId="5" applyFont="1" applyFill="1" applyBorder="1" applyAlignment="1">
      <alignment horizontal="right" vertical="center" wrapText="1"/>
    </xf>
    <xf numFmtId="0" fontId="15" fillId="20" borderId="7" xfId="0" applyFont="1" applyFill="1" applyBorder="1" applyAlignment="1">
      <alignment wrapText="1"/>
    </xf>
    <xf numFmtId="0" fontId="15" fillId="20" borderId="8" xfId="0" applyFont="1" applyFill="1" applyBorder="1" applyAlignment="1">
      <alignment wrapText="1"/>
    </xf>
    <xf numFmtId="0" fontId="15" fillId="20" borderId="7" xfId="0" applyFont="1" applyFill="1" applyBorder="1" applyAlignment="1">
      <alignment horizontal="left" vertical="center" wrapText="1"/>
    </xf>
    <xf numFmtId="0" fontId="15" fillId="20" borderId="8" xfId="0" applyFont="1" applyFill="1" applyBorder="1" applyAlignment="1">
      <alignment horizontal="left" vertical="center" wrapText="1"/>
    </xf>
    <xf numFmtId="0" fontId="33" fillId="0" borderId="28" xfId="0" applyFont="1" applyBorder="1" applyAlignment="1">
      <alignment horizontal="center" vertical="center" wrapText="1"/>
    </xf>
    <xf numFmtId="0" fontId="10" fillId="25" borderId="2" xfId="4" applyFont="1" applyFill="1" applyBorder="1" applyAlignment="1" applyProtection="1">
      <alignment horizontal="center" vertical="center" wrapText="1"/>
      <protection locked="0"/>
    </xf>
    <xf numFmtId="0" fontId="9" fillId="20" borderId="30" xfId="4" applyFont="1" applyFill="1" applyBorder="1" applyAlignment="1" applyProtection="1">
      <alignment horizontal="center" vertical="center" wrapText="1"/>
      <protection locked="0"/>
    </xf>
    <xf numFmtId="0" fontId="9" fillId="20" borderId="4" xfId="4" applyFont="1" applyFill="1" applyBorder="1" applyAlignment="1" applyProtection="1">
      <alignment horizontal="center" vertical="center" wrapText="1"/>
      <protection locked="0"/>
    </xf>
    <xf numFmtId="0" fontId="10" fillId="0" borderId="0" xfId="4" applyFont="1" applyAlignment="1" applyProtection="1">
      <alignment vertical="center" wrapText="1"/>
      <protection locked="0"/>
    </xf>
    <xf numFmtId="49" fontId="32" fillId="0" borderId="0" xfId="0" applyNumberFormat="1" applyFont="1"/>
    <xf numFmtId="0" fontId="32" fillId="0" borderId="0" xfId="0" applyFont="1" applyAlignment="1">
      <alignment horizontal="center"/>
    </xf>
    <xf numFmtId="0" fontId="32" fillId="3" borderId="6" xfId="0" applyFont="1" applyFill="1" applyBorder="1" applyAlignment="1">
      <alignment horizontal="center" vertical="center" wrapText="1"/>
    </xf>
    <xf numFmtId="9" fontId="39" fillId="25" borderId="1" xfId="4" applyNumberFormat="1" applyFont="1" applyFill="1" applyBorder="1" applyAlignment="1" applyProtection="1">
      <alignment horizontal="center" vertical="center" wrapText="1"/>
      <protection locked="0"/>
    </xf>
    <xf numFmtId="0" fontId="1" fillId="0" borderId="0" xfId="4" applyFont="1" applyAlignment="1">
      <alignment horizontal="left" vertical="center" wrapText="1"/>
    </xf>
    <xf numFmtId="0" fontId="2" fillId="0" borderId="0" xfId="4" applyFont="1" applyAlignment="1">
      <alignment horizontal="left" vertical="center" wrapText="1"/>
    </xf>
    <xf numFmtId="0" fontId="2" fillId="0" borderId="13" xfId="4" applyFont="1" applyBorder="1" applyAlignment="1">
      <alignment horizontal="left" vertical="center" wrapText="1"/>
    </xf>
    <xf numFmtId="0" fontId="10" fillId="0" borderId="13" xfId="4" applyFont="1" applyBorder="1" applyAlignment="1" applyProtection="1">
      <alignment horizontal="left" vertical="center" wrapText="1"/>
      <protection locked="0"/>
    </xf>
    <xf numFmtId="0" fontId="5" fillId="0" borderId="0" xfId="4" applyFont="1" applyAlignment="1">
      <alignment horizontal="left" vertical="center"/>
    </xf>
    <xf numFmtId="0" fontId="10" fillId="0" borderId="18" xfId="4" applyFont="1" applyBorder="1" applyAlignment="1" applyProtection="1">
      <alignment horizontal="left" vertical="center" wrapText="1"/>
      <protection locked="0"/>
    </xf>
    <xf numFmtId="0" fontId="10" fillId="0" borderId="2" xfId="4" applyFont="1" applyBorder="1" applyAlignment="1" applyProtection="1">
      <alignment horizontal="left" vertical="center" wrapText="1"/>
      <protection locked="0"/>
    </xf>
    <xf numFmtId="0" fontId="11" fillId="0" borderId="0" xfId="4" applyAlignment="1" applyProtection="1">
      <alignment horizontal="left"/>
      <protection locked="0"/>
    </xf>
    <xf numFmtId="0" fontId="33" fillId="0" borderId="38" xfId="0" applyFont="1" applyBorder="1" applyAlignment="1">
      <alignment horizontal="center" vertical="center" wrapText="1"/>
    </xf>
    <xf numFmtId="0" fontId="33" fillId="0" borderId="23" xfId="0" applyFont="1" applyBorder="1" applyAlignment="1">
      <alignment horizontal="center" vertical="center" wrapText="1"/>
    </xf>
    <xf numFmtId="0" fontId="39" fillId="3" borderId="6" xfId="0" applyFont="1" applyFill="1" applyBorder="1" applyAlignment="1">
      <alignment horizontal="center" vertical="center" wrapText="1"/>
    </xf>
    <xf numFmtId="0" fontId="34" fillId="0" borderId="23" xfId="0" applyFont="1" applyBorder="1" applyAlignment="1">
      <alignment horizontal="center" vertical="center" wrapText="1"/>
    </xf>
    <xf numFmtId="0" fontId="33" fillId="0" borderId="39" xfId="0" applyFont="1" applyBorder="1" applyAlignment="1">
      <alignment horizontal="center" vertical="center" wrapText="1"/>
    </xf>
    <xf numFmtId="0" fontId="32" fillId="0" borderId="38" xfId="0" applyFont="1" applyBorder="1" applyAlignment="1">
      <alignment horizontal="center" vertical="center" wrapText="1"/>
    </xf>
    <xf numFmtId="0" fontId="33" fillId="0" borderId="40" xfId="0" applyFont="1" applyBorder="1" applyAlignment="1">
      <alignment horizontal="center" vertical="center" wrapText="1"/>
    </xf>
    <xf numFmtId="0" fontId="34" fillId="0" borderId="40" xfId="0" applyFont="1" applyBorder="1" applyAlignment="1">
      <alignment horizontal="center" vertical="center" wrapText="1"/>
    </xf>
    <xf numFmtId="0" fontId="32" fillId="0" borderId="40" xfId="0" applyFont="1" applyBorder="1" applyAlignment="1">
      <alignment horizontal="center" vertical="center" wrapText="1"/>
    </xf>
    <xf numFmtId="0" fontId="34" fillId="3" borderId="6" xfId="0" applyFont="1" applyFill="1" applyBorder="1" applyAlignment="1">
      <alignment horizontal="center" vertical="center" wrapText="1"/>
    </xf>
    <xf numFmtId="0" fontId="0" fillId="0" borderId="0" xfId="0" applyAlignment="1">
      <alignment vertical="center" wrapText="1"/>
    </xf>
    <xf numFmtId="2" fontId="8" fillId="21" borderId="37" xfId="3" applyNumberFormat="1" applyFont="1" applyFill="1" applyBorder="1" applyAlignment="1" applyProtection="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0" xfId="0" applyFont="1" applyBorder="1" applyAlignment="1">
      <alignment horizontal="center" vertical="center" wrapText="1"/>
    </xf>
    <xf numFmtId="0" fontId="34" fillId="0" borderId="50" xfId="0" applyFont="1" applyBorder="1" applyAlignment="1">
      <alignment horizontal="center" vertical="center" wrapText="1"/>
    </xf>
    <xf numFmtId="0" fontId="10" fillId="0" borderId="52" xfId="4" applyFont="1" applyBorder="1" applyAlignment="1" applyProtection="1">
      <alignment vertical="center" wrapText="1"/>
      <protection locked="0"/>
    </xf>
    <xf numFmtId="0" fontId="10" fillId="25" borderId="52" xfId="4" applyFont="1" applyFill="1" applyBorder="1" applyAlignment="1" applyProtection="1">
      <alignment horizontal="center" vertical="center" wrapText="1"/>
      <protection locked="0"/>
    </xf>
    <xf numFmtId="0" fontId="0" fillId="0" borderId="52" xfId="4" applyFont="1" applyBorder="1" applyAlignment="1">
      <alignment horizontal="left" vertical="center" wrapText="1"/>
    </xf>
    <xf numFmtId="0" fontId="2" fillId="6" borderId="52" xfId="0" applyFont="1" applyFill="1" applyBorder="1" applyAlignment="1">
      <alignment horizontal="right" vertical="center"/>
    </xf>
    <xf numFmtId="164" fontId="2" fillId="0" borderId="52" xfId="1" applyNumberFormat="1" applyFont="1" applyFill="1" applyBorder="1" applyAlignment="1">
      <alignment horizontal="center" vertical="center"/>
    </xf>
    <xf numFmtId="1" fontId="2" fillId="0" borderId="52" xfId="1" applyNumberFormat="1" applyFont="1" applyBorder="1" applyAlignment="1">
      <alignment horizontal="center" vertical="center"/>
    </xf>
    <xf numFmtId="0" fontId="2" fillId="0" borderId="52" xfId="0" applyFont="1" applyBorder="1" applyAlignment="1">
      <alignment horizontal="center" vertical="center" wrapText="1"/>
    </xf>
    <xf numFmtId="0" fontId="33" fillId="4" borderId="52" xfId="0" applyFont="1" applyFill="1" applyBorder="1" applyAlignment="1">
      <alignment horizontal="center" vertical="center" wrapText="1"/>
    </xf>
    <xf numFmtId="0" fontId="33" fillId="0" borderId="52" xfId="0" applyFont="1" applyBorder="1" applyAlignment="1">
      <alignment horizontal="center" vertical="center" wrapText="1"/>
    </xf>
    <xf numFmtId="0" fontId="34" fillId="0" borderId="52" xfId="0" applyFont="1" applyBorder="1" applyAlignment="1">
      <alignment horizontal="center" vertical="center" wrapText="1"/>
    </xf>
    <xf numFmtId="0" fontId="33" fillId="0" borderId="51" xfId="0" applyFont="1" applyBorder="1" applyAlignment="1">
      <alignment horizontal="center" vertical="center" wrapText="1"/>
    </xf>
    <xf numFmtId="0" fontId="2" fillId="9" borderId="53" xfId="0" applyFont="1" applyFill="1" applyBorder="1" applyAlignment="1">
      <alignment horizontal="center" vertical="center" textRotation="90" wrapText="1"/>
    </xf>
    <xf numFmtId="0" fontId="33" fillId="0" borderId="54" xfId="0" applyFont="1" applyBorder="1" applyAlignment="1">
      <alignment horizontal="left" vertical="center" wrapText="1"/>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49" fontId="32" fillId="0" borderId="54" xfId="0" applyNumberFormat="1" applyFont="1" applyBorder="1"/>
    <xf numFmtId="0" fontId="32" fillId="0" borderId="59" xfId="0" applyFont="1" applyBorder="1" applyAlignment="1">
      <alignment horizontal="center"/>
    </xf>
    <xf numFmtId="0" fontId="32" fillId="0" borderId="56" xfId="0" applyFont="1" applyBorder="1" applyAlignment="1">
      <alignment horizontal="center"/>
    </xf>
    <xf numFmtId="0" fontId="32" fillId="0" borderId="59" xfId="0" applyFont="1" applyBorder="1" applyAlignment="1">
      <alignment horizontal="center" vertical="center" wrapText="1"/>
    </xf>
    <xf numFmtId="0" fontId="32" fillId="0" borderId="56" xfId="0" applyFont="1" applyBorder="1" applyAlignment="1">
      <alignment horizontal="center" vertical="center" wrapText="1"/>
    </xf>
    <xf numFmtId="0" fontId="34" fillId="0" borderId="57" xfId="0" applyFont="1" applyBorder="1" applyAlignment="1">
      <alignment horizontal="left" vertical="center" wrapText="1"/>
    </xf>
    <xf numFmtId="0" fontId="34" fillId="0" borderId="55"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3" fillId="0" borderId="60" xfId="0" applyFont="1" applyBorder="1" applyAlignment="1">
      <alignment horizontal="center" vertical="center" wrapText="1"/>
    </xf>
    <xf numFmtId="0" fontId="10" fillId="0" borderId="54" xfId="0" applyFont="1" applyBorder="1" applyAlignment="1">
      <alignment wrapText="1"/>
    </xf>
    <xf numFmtId="2" fontId="34" fillId="0" borderId="59" xfId="1" applyNumberFormat="1" applyFont="1" applyBorder="1" applyAlignment="1">
      <alignment horizontal="center" vertical="center" wrapText="1"/>
    </xf>
    <xf numFmtId="2" fontId="34" fillId="0" borderId="56" xfId="1" applyNumberFormat="1" applyFont="1" applyBorder="1" applyAlignment="1">
      <alignment horizontal="center" vertical="center" wrapText="1"/>
    </xf>
    <xf numFmtId="9" fontId="10" fillId="25" borderId="1" xfId="4" applyNumberFormat="1" applyFont="1" applyFill="1" applyBorder="1" applyAlignment="1" applyProtection="1">
      <alignment horizontal="center" vertical="center" wrapText="1"/>
      <protection locked="0"/>
    </xf>
    <xf numFmtId="0" fontId="10" fillId="25" borderId="1" xfId="4" applyFont="1" applyFill="1" applyBorder="1" applyAlignment="1" applyProtection="1">
      <alignment horizontal="center" vertical="center" wrapText="1"/>
      <protection locked="0"/>
    </xf>
    <xf numFmtId="0" fontId="10" fillId="0" borderId="1" xfId="4" applyFont="1" applyBorder="1" applyAlignment="1" applyProtection="1">
      <alignment vertical="center" wrapText="1"/>
      <protection locked="0"/>
    </xf>
    <xf numFmtId="0" fontId="9" fillId="15" borderId="1" xfId="4" applyFont="1" applyFill="1" applyBorder="1" applyAlignment="1" applyProtection="1">
      <alignment horizontal="center" vertical="center" wrapText="1"/>
      <protection locked="0"/>
    </xf>
    <xf numFmtId="0" fontId="9" fillId="15" borderId="16" xfId="4" applyFont="1" applyFill="1" applyBorder="1" applyAlignment="1" applyProtection="1">
      <alignment horizontal="center" vertical="center" wrapText="1"/>
      <protection locked="0"/>
    </xf>
    <xf numFmtId="0" fontId="10" fillId="0" borderId="2" xfId="4" applyFont="1" applyBorder="1" applyAlignment="1" applyProtection="1">
      <alignment vertical="center" wrapText="1"/>
      <protection locked="0"/>
    </xf>
    <xf numFmtId="1" fontId="5" fillId="18" borderId="65" xfId="3" applyNumberFormat="1" applyFont="1" applyFill="1" applyBorder="1" applyAlignment="1" applyProtection="1">
      <alignment horizontal="center" vertical="center"/>
    </xf>
    <xf numFmtId="1" fontId="19" fillId="18" borderId="71" xfId="3" applyNumberFormat="1" applyFont="1" applyFill="1" applyBorder="1" applyAlignment="1" applyProtection="1">
      <alignment horizontal="center" vertical="center" wrapText="1"/>
    </xf>
    <xf numFmtId="2" fontId="19" fillId="18" borderId="71" xfId="3" applyNumberFormat="1" applyFont="1" applyFill="1" applyBorder="1" applyAlignment="1" applyProtection="1">
      <alignment horizontal="center" vertical="center" wrapText="1"/>
    </xf>
    <xf numFmtId="1" fontId="8" fillId="21" borderId="78" xfId="3" applyNumberFormat="1" applyFont="1" applyFill="1" applyBorder="1" applyAlignment="1" applyProtection="1">
      <alignment horizontal="center" vertical="center" wrapText="1"/>
    </xf>
    <xf numFmtId="2" fontId="8" fillId="21" borderId="78" xfId="3" applyNumberFormat="1" applyFont="1" applyFill="1" applyBorder="1" applyAlignment="1" applyProtection="1">
      <alignment horizontal="center" vertical="center" wrapText="1"/>
    </xf>
    <xf numFmtId="1" fontId="8" fillId="21" borderId="79" xfId="3" applyNumberFormat="1" applyFont="1" applyFill="1" applyBorder="1" applyAlignment="1" applyProtection="1">
      <alignment horizontal="center" vertical="center" wrapText="1"/>
    </xf>
    <xf numFmtId="2" fontId="29" fillId="19" borderId="82" xfId="3" applyNumberFormat="1" applyFont="1" applyFill="1" applyBorder="1" applyAlignment="1" applyProtection="1">
      <alignment horizontal="center" vertical="center"/>
    </xf>
    <xf numFmtId="9" fontId="19" fillId="0" borderId="78" xfId="3" applyFont="1" applyBorder="1" applyAlignment="1" applyProtection="1">
      <alignment horizontal="center" vertical="center" wrapText="1"/>
    </xf>
    <xf numFmtId="164" fontId="2" fillId="0" borderId="78" xfId="1" applyNumberFormat="1" applyFont="1" applyFill="1" applyBorder="1" applyAlignment="1">
      <alignment horizontal="center" vertical="center" wrapText="1"/>
    </xf>
    <xf numFmtId="0" fontId="19" fillId="0" borderId="78" xfId="2" applyFont="1" applyBorder="1" applyAlignment="1">
      <alignment horizontal="center" vertical="center" wrapText="1"/>
    </xf>
    <xf numFmtId="1" fontId="2" fillId="0" borderId="78" xfId="1" applyNumberFormat="1" applyFont="1" applyBorder="1" applyAlignment="1">
      <alignment horizontal="center" vertical="center" wrapText="1"/>
    </xf>
    <xf numFmtId="164" fontId="2" fillId="4" borderId="78" xfId="1" applyNumberFormat="1" applyFont="1" applyFill="1" applyBorder="1" applyAlignment="1">
      <alignment horizontal="center" vertical="center" wrapText="1"/>
    </xf>
    <xf numFmtId="0" fontId="19" fillId="4" borderId="78" xfId="2" applyFont="1" applyFill="1" applyBorder="1" applyAlignment="1">
      <alignment horizontal="center" vertical="center" wrapText="1"/>
    </xf>
    <xf numFmtId="1" fontId="2" fillId="4" borderId="78" xfId="1" applyNumberFormat="1" applyFont="1" applyFill="1" applyBorder="1" applyAlignment="1">
      <alignment horizontal="center" vertical="center" wrapText="1"/>
    </xf>
    <xf numFmtId="9" fontId="5" fillId="0" borderId="87" xfId="3" applyFont="1" applyBorder="1" applyAlignment="1" applyProtection="1">
      <alignment horizontal="center" vertical="center" wrapText="1"/>
    </xf>
    <xf numFmtId="0" fontId="5" fillId="0" borderId="88" xfId="2" applyFont="1" applyBorder="1" applyAlignment="1">
      <alignment horizontal="center" vertical="center"/>
    </xf>
    <xf numFmtId="9" fontId="5" fillId="0" borderId="88" xfId="3" applyFont="1" applyBorder="1" applyAlignment="1" applyProtection="1">
      <alignment horizontal="center" vertical="center"/>
    </xf>
    <xf numFmtId="1" fontId="8" fillId="0" borderId="78" xfId="1" applyNumberFormat="1" applyFont="1" applyFill="1" applyBorder="1" applyAlignment="1">
      <alignment horizontal="center" vertical="center" wrapText="1"/>
    </xf>
    <xf numFmtId="1" fontId="8" fillId="0" borderId="78" xfId="1" applyNumberFormat="1" applyFont="1" applyBorder="1" applyAlignment="1">
      <alignment horizontal="center" vertical="center" wrapText="1"/>
    </xf>
    <xf numFmtId="1" fontId="5" fillId="17" borderId="88" xfId="3" applyNumberFormat="1" applyFont="1" applyFill="1" applyBorder="1" applyAlignment="1" applyProtection="1">
      <alignment horizontal="center" vertical="center"/>
    </xf>
    <xf numFmtId="1" fontId="5" fillId="17" borderId="89" xfId="3" applyNumberFormat="1" applyFont="1" applyFill="1" applyBorder="1" applyAlignment="1" applyProtection="1">
      <alignment horizontal="center" vertical="center"/>
    </xf>
    <xf numFmtId="0" fontId="19" fillId="0" borderId="88" xfId="2" applyFont="1" applyBorder="1" applyAlignment="1">
      <alignment horizontal="center" vertical="center" wrapText="1"/>
    </xf>
    <xf numFmtId="9" fontId="5" fillId="0" borderId="90" xfId="3" applyFont="1" applyBorder="1" applyAlignment="1" applyProtection="1">
      <alignment horizontal="center" vertical="center" wrapText="1"/>
    </xf>
    <xf numFmtId="9" fontId="5" fillId="4" borderId="90" xfId="3" applyFont="1" applyFill="1" applyBorder="1" applyAlignment="1" applyProtection="1">
      <alignment horizontal="center" vertical="center" wrapText="1"/>
    </xf>
    <xf numFmtId="9" fontId="19" fillId="0" borderId="88" xfId="3" applyFont="1" applyBorder="1" applyAlignment="1" applyProtection="1">
      <alignment horizontal="center" vertical="center" wrapText="1"/>
    </xf>
    <xf numFmtId="1" fontId="19" fillId="17" borderId="88" xfId="3" applyNumberFormat="1" applyFont="1" applyFill="1" applyBorder="1" applyAlignment="1" applyProtection="1">
      <alignment horizontal="center" vertical="center" wrapText="1"/>
    </xf>
    <xf numFmtId="1" fontId="19" fillId="18" borderId="78" xfId="3" applyNumberFormat="1" applyFont="1" applyFill="1" applyBorder="1" applyAlignment="1" applyProtection="1">
      <alignment horizontal="center" vertical="center" wrapText="1"/>
    </xf>
    <xf numFmtId="0" fontId="19" fillId="4" borderId="88" xfId="2" applyFont="1" applyFill="1" applyBorder="1" applyAlignment="1">
      <alignment horizontal="center" vertical="center" wrapText="1"/>
    </xf>
    <xf numFmtId="1" fontId="19" fillId="21" borderId="78" xfId="3" applyNumberFormat="1" applyFont="1" applyFill="1" applyBorder="1" applyAlignment="1" applyProtection="1">
      <alignment horizontal="center" vertical="center" wrapText="1"/>
    </xf>
    <xf numFmtId="2" fontId="19" fillId="21" borderId="78" xfId="3" applyNumberFormat="1" applyFont="1" applyFill="1" applyBorder="1" applyAlignment="1" applyProtection="1">
      <alignment horizontal="center" vertical="center" wrapText="1"/>
    </xf>
    <xf numFmtId="1" fontId="19" fillId="21" borderId="79" xfId="3" applyNumberFormat="1" applyFont="1" applyFill="1" applyBorder="1" applyAlignment="1" applyProtection="1">
      <alignment horizontal="center" vertical="center" wrapText="1"/>
    </xf>
    <xf numFmtId="2" fontId="19" fillId="21" borderId="79" xfId="3" applyNumberFormat="1" applyFont="1" applyFill="1" applyBorder="1" applyAlignment="1" applyProtection="1">
      <alignment horizontal="center" vertical="center" wrapText="1"/>
    </xf>
    <xf numFmtId="2" fontId="21" fillId="19" borderId="78" xfId="3" applyNumberFormat="1" applyFont="1" applyFill="1" applyBorder="1" applyAlignment="1" applyProtection="1">
      <alignment horizontal="center" vertical="center" wrapText="1"/>
    </xf>
    <xf numFmtId="0" fontId="2" fillId="7" borderId="78" xfId="0" applyFont="1" applyFill="1" applyBorder="1" applyAlignment="1">
      <alignment horizontal="center" textRotation="90" wrapText="1"/>
    </xf>
    <xf numFmtId="0" fontId="2" fillId="9" borderId="78" xfId="0" applyFont="1" applyFill="1" applyBorder="1" applyAlignment="1">
      <alignment horizontal="center" textRotation="90" wrapText="1"/>
    </xf>
    <xf numFmtId="0" fontId="2" fillId="10" borderId="78" xfId="0" applyFont="1" applyFill="1" applyBorder="1" applyAlignment="1">
      <alignment horizontal="center" textRotation="90" wrapText="1"/>
    </xf>
    <xf numFmtId="0" fontId="31" fillId="16" borderId="78" xfId="0" applyFont="1" applyFill="1" applyBorder="1" applyAlignment="1">
      <alignment horizontal="left" vertical="center" wrapText="1"/>
    </xf>
    <xf numFmtId="0" fontId="31" fillId="11" borderId="78" xfId="0" applyFont="1" applyFill="1" applyBorder="1" applyAlignment="1">
      <alignment horizontal="left" vertical="center" wrapText="1"/>
    </xf>
    <xf numFmtId="0" fontId="31" fillId="11" borderId="80" xfId="0" applyFont="1" applyFill="1" applyBorder="1" applyAlignment="1">
      <alignment horizontal="left" vertical="center" wrapText="1"/>
    </xf>
    <xf numFmtId="0" fontId="31" fillId="7" borderId="78" xfId="0" applyFont="1" applyFill="1" applyBorder="1" applyAlignment="1">
      <alignment horizontal="center" vertical="center"/>
    </xf>
    <xf numFmtId="0" fontId="31" fillId="9" borderId="78" xfId="0" applyFont="1" applyFill="1" applyBorder="1" applyAlignment="1">
      <alignment horizontal="center" vertical="center"/>
    </xf>
    <xf numFmtId="0" fontId="31" fillId="10" borderId="78" xfId="0" applyFont="1" applyFill="1" applyBorder="1" applyAlignment="1">
      <alignment horizontal="center" vertical="center"/>
    </xf>
    <xf numFmtId="0" fontId="30" fillId="26" borderId="78" xfId="0" applyFont="1" applyFill="1" applyBorder="1" applyAlignment="1" applyProtection="1">
      <alignment horizontal="left" vertical="center"/>
      <protection locked="0"/>
    </xf>
    <xf numFmtId="0" fontId="30" fillId="26" borderId="78" xfId="0" applyFont="1" applyFill="1" applyBorder="1" applyAlignment="1">
      <alignment horizontal="left" vertical="center"/>
    </xf>
    <xf numFmtId="0" fontId="30" fillId="26" borderId="78" xfId="0" applyFont="1" applyFill="1" applyBorder="1" applyAlignment="1">
      <alignment horizontal="left" vertical="center" wrapText="1"/>
    </xf>
    <xf numFmtId="164" fontId="30" fillId="26" borderId="78" xfId="1" applyNumberFormat="1" applyFont="1" applyFill="1" applyBorder="1" applyAlignment="1">
      <alignment horizontal="center" vertical="center" wrapText="1"/>
    </xf>
    <xf numFmtId="1" fontId="30" fillId="26" borderId="78" xfId="1" applyNumberFormat="1" applyFont="1" applyFill="1" applyBorder="1" applyAlignment="1">
      <alignment horizontal="center" vertical="center" wrapText="1"/>
    </xf>
    <xf numFmtId="9" fontId="30" fillId="26" borderId="78" xfId="1" applyFont="1" applyFill="1" applyBorder="1" applyAlignment="1">
      <alignment horizontal="center" vertical="center" wrapText="1"/>
    </xf>
    <xf numFmtId="10" fontId="30" fillId="26" borderId="78" xfId="1" applyNumberFormat="1" applyFont="1" applyFill="1" applyBorder="1" applyAlignment="1">
      <alignment horizontal="center" vertical="center" wrapText="1"/>
    </xf>
    <xf numFmtId="0" fontId="30" fillId="26" borderId="78" xfId="1" applyNumberFormat="1" applyFont="1" applyFill="1" applyBorder="1" applyAlignment="1">
      <alignment horizontal="center" vertical="center" wrapText="1"/>
    </xf>
    <xf numFmtId="10" fontId="30" fillId="9" borderId="78" xfId="1" applyNumberFormat="1" applyFont="1" applyFill="1" applyBorder="1" applyAlignment="1">
      <alignment horizontal="center" vertical="center" wrapText="1"/>
    </xf>
    <xf numFmtId="0" fontId="30" fillId="26" borderId="78" xfId="0" applyFont="1" applyFill="1" applyBorder="1" applyAlignment="1">
      <alignment horizontal="center" vertical="center" wrapText="1"/>
    </xf>
    <xf numFmtId="1" fontId="30" fillId="26" borderId="78" xfId="0" applyNumberFormat="1" applyFont="1" applyFill="1" applyBorder="1" applyAlignment="1">
      <alignment horizontal="center" vertical="center" wrapText="1"/>
    </xf>
    <xf numFmtId="2" fontId="30" fillId="26" borderId="78" xfId="0" applyNumberFormat="1" applyFont="1" applyFill="1" applyBorder="1" applyAlignment="1">
      <alignment horizontal="center" vertical="center" wrapText="1"/>
    </xf>
    <xf numFmtId="0" fontId="30" fillId="0" borderId="78" xfId="0" applyFont="1" applyBorder="1" applyAlignment="1" applyProtection="1">
      <alignment horizontal="left" vertical="center"/>
      <protection locked="0"/>
    </xf>
    <xf numFmtId="0" fontId="30" fillId="0" borderId="78" xfId="0" applyFont="1" applyBorder="1" applyAlignment="1">
      <alignment horizontal="left" vertical="center"/>
    </xf>
    <xf numFmtId="0" fontId="30" fillId="0" borderId="78" xfId="0" applyFont="1" applyBorder="1" applyAlignment="1">
      <alignment horizontal="left" vertical="center" wrapText="1"/>
    </xf>
    <xf numFmtId="164" fontId="30" fillId="0" borderId="78" xfId="1" applyNumberFormat="1" applyFont="1" applyFill="1" applyBorder="1" applyAlignment="1">
      <alignment horizontal="center" vertical="center" wrapText="1"/>
    </xf>
    <xf numFmtId="1" fontId="30" fillId="0" borderId="78" xfId="1" applyNumberFormat="1" applyFont="1" applyFill="1" applyBorder="1" applyAlignment="1">
      <alignment horizontal="center" vertical="center" wrapText="1"/>
    </xf>
    <xf numFmtId="9" fontId="30" fillId="0" borderId="78" xfId="1" applyFont="1" applyFill="1" applyBorder="1" applyAlignment="1">
      <alignment horizontal="center" vertical="center" wrapText="1"/>
    </xf>
    <xf numFmtId="10" fontId="30" fillId="0" borderId="78" xfId="1" applyNumberFormat="1" applyFont="1" applyFill="1" applyBorder="1" applyAlignment="1">
      <alignment horizontal="center" vertical="center" wrapText="1"/>
    </xf>
    <xf numFmtId="0" fontId="30" fillId="0" borderId="78" xfId="1" applyNumberFormat="1" applyFont="1" applyFill="1" applyBorder="1" applyAlignment="1">
      <alignment horizontal="center" vertical="center" wrapText="1"/>
    </xf>
    <xf numFmtId="0" fontId="30" fillId="0" borderId="78" xfId="0" applyFont="1" applyBorder="1" applyAlignment="1">
      <alignment horizontal="center" vertical="center" wrapText="1"/>
    </xf>
    <xf numFmtId="1" fontId="30" fillId="0" borderId="78" xfId="0" applyNumberFormat="1" applyFont="1" applyBorder="1" applyAlignment="1">
      <alignment horizontal="center" vertical="center" wrapText="1"/>
    </xf>
    <xf numFmtId="2" fontId="30" fillId="0" borderId="78" xfId="0" applyNumberFormat="1" applyFont="1" applyBorder="1" applyAlignment="1">
      <alignment horizontal="center" vertical="center" wrapText="1"/>
    </xf>
    <xf numFmtId="0" fontId="2" fillId="14" borderId="78" xfId="0" applyFont="1" applyFill="1" applyBorder="1" applyAlignment="1">
      <alignment horizontal="left" vertical="center" wrapText="1"/>
    </xf>
    <xf numFmtId="0" fontId="30" fillId="26" borderId="78" xfId="0" applyFont="1" applyFill="1" applyBorder="1" applyAlignment="1">
      <alignment horizontal="center" vertical="center"/>
    </xf>
    <xf numFmtId="9" fontId="30" fillId="26" borderId="78" xfId="1" applyFont="1" applyFill="1" applyBorder="1" applyAlignment="1">
      <alignment horizontal="center" vertical="center"/>
    </xf>
    <xf numFmtId="14" fontId="30" fillId="26" borderId="78" xfId="0" applyNumberFormat="1" applyFont="1" applyFill="1" applyBorder="1" applyAlignment="1">
      <alignment horizontal="center" vertical="center"/>
    </xf>
    <xf numFmtId="44" fontId="30" fillId="26" borderId="78" xfId="0" applyNumberFormat="1" applyFont="1" applyFill="1" applyBorder="1" applyAlignment="1">
      <alignment horizontal="center" vertical="center"/>
    </xf>
    <xf numFmtId="1" fontId="30" fillId="26" borderId="78" xfId="0" applyNumberFormat="1" applyFont="1" applyFill="1" applyBorder="1" applyAlignment="1">
      <alignment horizontal="center" vertical="center"/>
    </xf>
    <xf numFmtId="10" fontId="30" fillId="26" borderId="78" xfId="0" applyNumberFormat="1" applyFont="1" applyFill="1" applyBorder="1" applyAlignment="1">
      <alignment horizontal="center" vertical="center"/>
    </xf>
    <xf numFmtId="0" fontId="30" fillId="0" borderId="78" xfId="0" applyFont="1" applyBorder="1" applyAlignment="1">
      <alignment horizontal="center" vertical="center"/>
    </xf>
    <xf numFmtId="9" fontId="30" fillId="0" borderId="78" xfId="1" applyFont="1" applyFill="1" applyBorder="1" applyAlignment="1">
      <alignment horizontal="center" vertical="center"/>
    </xf>
    <xf numFmtId="14" fontId="30" fillId="0" borderId="78" xfId="0" applyNumberFormat="1" applyFont="1" applyBorder="1" applyAlignment="1">
      <alignment horizontal="center" vertical="center"/>
    </xf>
    <xf numFmtId="44" fontId="30" fillId="0" borderId="78" xfId="0" applyNumberFormat="1" applyFont="1" applyBorder="1" applyAlignment="1">
      <alignment horizontal="center" vertical="center"/>
    </xf>
    <xf numFmtId="1" fontId="30" fillId="0" borderId="78" xfId="0" applyNumberFormat="1" applyFont="1" applyBorder="1" applyAlignment="1">
      <alignment horizontal="center" vertical="center"/>
    </xf>
    <xf numFmtId="9" fontId="30" fillId="0" borderId="78" xfId="0" applyNumberFormat="1" applyFont="1" applyBorder="1" applyAlignment="1">
      <alignment horizontal="center" vertical="center"/>
    </xf>
    <xf numFmtId="0" fontId="33" fillId="0" borderId="79" xfId="0" applyFont="1" applyBorder="1" applyAlignment="1">
      <alignment horizontal="center" vertical="center" wrapText="1"/>
    </xf>
    <xf numFmtId="0" fontId="33" fillId="0" borderId="78" xfId="0" applyFont="1" applyBorder="1" applyAlignment="1">
      <alignment horizontal="center" vertical="center" wrapText="1"/>
    </xf>
    <xf numFmtId="0" fontId="32" fillId="0" borderId="78" xfId="0" applyFont="1" applyBorder="1" applyAlignment="1">
      <alignment horizontal="center"/>
    </xf>
    <xf numFmtId="0" fontId="15" fillId="20" borderId="78" xfId="0" applyFont="1" applyFill="1" applyBorder="1" applyAlignment="1">
      <alignment horizontal="left" vertical="center" wrapText="1"/>
    </xf>
    <xf numFmtId="0" fontId="9" fillId="20" borderId="78" xfId="0" applyFont="1" applyFill="1" applyBorder="1" applyAlignment="1">
      <alignment vertical="center" wrapText="1"/>
    </xf>
    <xf numFmtId="0" fontId="32"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78" xfId="0" applyFont="1" applyBorder="1" applyAlignment="1">
      <alignment horizontal="center" vertical="center" wrapText="1"/>
    </xf>
    <xf numFmtId="0" fontId="33" fillId="0" borderId="80" xfId="0" applyFont="1" applyBorder="1" applyAlignment="1">
      <alignment horizontal="center" vertical="center" wrapText="1"/>
    </xf>
    <xf numFmtId="0" fontId="0" fillId="0" borderId="96" xfId="0" applyBorder="1" applyAlignment="1">
      <alignment horizontal="left" vertical="center"/>
    </xf>
    <xf numFmtId="0" fontId="0" fillId="0" borderId="96" xfId="0" applyBorder="1" applyAlignment="1">
      <alignment horizontal="left" vertical="center" wrapText="1"/>
    </xf>
    <xf numFmtId="0" fontId="9" fillId="15" borderId="96" xfId="4" applyFont="1" applyFill="1" applyBorder="1" applyAlignment="1" applyProtection="1">
      <alignment horizontal="center" vertical="center" wrapText="1"/>
      <protection locked="0"/>
    </xf>
    <xf numFmtId="0" fontId="9" fillId="24" borderId="96" xfId="4" applyFont="1" applyFill="1" applyBorder="1" applyAlignment="1" applyProtection="1">
      <alignment horizontal="center" vertical="center" wrapText="1"/>
      <protection locked="0"/>
    </xf>
    <xf numFmtId="0" fontId="10" fillId="0" borderId="96" xfId="2" applyFont="1" applyBorder="1" applyAlignment="1" applyProtection="1">
      <alignment vertical="center" wrapText="1"/>
      <protection locked="0"/>
    </xf>
    <xf numFmtId="0" fontId="10" fillId="0" borderId="96" xfId="4" applyFont="1" applyBorder="1" applyAlignment="1" applyProtection="1">
      <alignment vertical="center" wrapText="1"/>
      <protection locked="0"/>
    </xf>
    <xf numFmtId="0" fontId="10" fillId="25" borderId="96" xfId="4" applyFont="1" applyFill="1" applyBorder="1" applyAlignment="1" applyProtection="1">
      <alignment horizontal="center" vertical="center" wrapText="1"/>
      <protection locked="0"/>
    </xf>
    <xf numFmtId="0" fontId="7" fillId="15" borderId="96" xfId="4" applyFont="1" applyFill="1" applyBorder="1" applyAlignment="1">
      <alignment horizontal="center" vertical="center" wrapText="1"/>
    </xf>
    <xf numFmtId="0" fontId="2" fillId="0" borderId="96" xfId="4" applyFont="1" applyBorder="1" applyAlignment="1">
      <alignment horizontal="left" vertical="center" wrapText="1"/>
    </xf>
    <xf numFmtId="0" fontId="1" fillId="0" borderId="96" xfId="4" applyFont="1" applyBorder="1" applyAlignment="1">
      <alignment horizontal="left" vertical="center" wrapText="1"/>
    </xf>
    <xf numFmtId="0" fontId="0" fillId="0" borderId="96" xfId="4" applyFont="1" applyBorder="1" applyAlignment="1">
      <alignment horizontal="left" vertical="center" wrapText="1"/>
    </xf>
    <xf numFmtId="0" fontId="6" fillId="0" borderId="96" xfId="4" applyFont="1" applyBorder="1" applyAlignment="1">
      <alignment horizontal="left" vertical="center" wrapText="1"/>
    </xf>
    <xf numFmtId="0" fontId="10" fillId="0" borderId="96" xfId="4" applyFont="1" applyBorder="1" applyAlignment="1" applyProtection="1">
      <alignment horizontal="left" vertical="center" wrapText="1"/>
      <protection locked="0"/>
    </xf>
    <xf numFmtId="0" fontId="1" fillId="0" borderId="99" xfId="4" applyFont="1" applyBorder="1" applyAlignment="1">
      <alignment horizontal="left" vertical="center" wrapText="1"/>
    </xf>
    <xf numFmtId="0" fontId="10" fillId="0" borderId="97" xfId="4" applyFont="1" applyBorder="1" applyAlignment="1" applyProtection="1">
      <alignment vertical="center" wrapText="1"/>
      <protection locked="0"/>
    </xf>
    <xf numFmtId="0" fontId="10" fillId="0" borderId="96" xfId="2" applyFont="1" applyBorder="1" applyAlignment="1" applyProtection="1">
      <alignment horizontal="left" vertical="center" wrapText="1"/>
      <protection locked="0"/>
    </xf>
    <xf numFmtId="0" fontId="2" fillId="0" borderId="96" xfId="2" applyFont="1" applyBorder="1" applyAlignment="1">
      <alignment horizontal="left" vertical="center" wrapText="1"/>
    </xf>
    <xf numFmtId="9" fontId="10" fillId="0" borderId="96" xfId="4" applyNumberFormat="1" applyFont="1" applyBorder="1" applyAlignment="1" applyProtection="1">
      <alignment horizontal="center" vertical="center" wrapText="1"/>
      <protection locked="0"/>
    </xf>
    <xf numFmtId="0" fontId="10" fillId="0" borderId="96" xfId="4" applyFont="1" applyBorder="1" applyAlignment="1" applyProtection="1">
      <alignment horizontal="center" vertical="center" wrapText="1"/>
      <protection locked="0"/>
    </xf>
    <xf numFmtId="0" fontId="9" fillId="20" borderId="96" xfId="4" applyFont="1" applyFill="1" applyBorder="1" applyAlignment="1" applyProtection="1">
      <alignment horizontal="center" vertical="center" wrapText="1"/>
      <protection locked="0"/>
    </xf>
    <xf numFmtId="0" fontId="9" fillId="20" borderId="96" xfId="4" applyFont="1" applyFill="1" applyBorder="1" applyAlignment="1">
      <alignment horizontal="left" vertical="center" wrapText="1"/>
    </xf>
    <xf numFmtId="1" fontId="9" fillId="20" borderId="96" xfId="4" applyNumberFormat="1" applyFont="1" applyFill="1" applyBorder="1" applyAlignment="1">
      <alignment horizontal="left" vertical="center" wrapText="1"/>
    </xf>
    <xf numFmtId="1" fontId="23" fillId="2" borderId="96" xfId="4" applyNumberFormat="1" applyFont="1" applyFill="1" applyBorder="1" applyAlignment="1">
      <alignment horizontal="left" vertical="center" wrapText="1"/>
    </xf>
    <xf numFmtId="0" fontId="24" fillId="14" borderId="96" xfId="4" applyFont="1" applyFill="1" applyBorder="1" applyAlignment="1" applyProtection="1">
      <alignment horizontal="center" vertical="center" wrapText="1"/>
      <protection locked="0"/>
    </xf>
    <xf numFmtId="0" fontId="11" fillId="0" borderId="96" xfId="4" applyBorder="1" applyAlignment="1" applyProtection="1">
      <alignment vertical="center" wrapText="1"/>
      <protection locked="0"/>
    </xf>
    <xf numFmtId="0" fontId="11" fillId="0" borderId="96" xfId="4" applyBorder="1" applyAlignment="1" applyProtection="1">
      <alignment horizontal="center" vertical="center" wrapText="1"/>
      <protection locked="0"/>
    </xf>
    <xf numFmtId="0" fontId="28" fillId="23" borderId="96" xfId="0" applyFont="1" applyFill="1" applyBorder="1" applyAlignment="1">
      <alignment horizontal="center" vertical="center"/>
    </xf>
    <xf numFmtId="0" fontId="27" fillId="6" borderId="96" xfId="0" applyFont="1" applyFill="1" applyBorder="1" applyAlignment="1">
      <alignment horizontal="left" vertical="center" wrapText="1"/>
    </xf>
    <xf numFmtId="0" fontId="2" fillId="6" borderId="96" xfId="0" applyFont="1" applyFill="1" applyBorder="1" applyAlignment="1">
      <alignment horizontal="right" vertical="center"/>
    </xf>
    <xf numFmtId="0" fontId="2" fillId="0" borderId="97" xfId="0" applyFont="1" applyBorder="1" applyAlignment="1">
      <alignment horizontal="left" vertical="center" indent="1"/>
    </xf>
    <xf numFmtId="0" fontId="2" fillId="0" borderId="99" xfId="0" applyFont="1" applyBorder="1" applyAlignment="1">
      <alignment horizontal="left" vertical="center"/>
    </xf>
    <xf numFmtId="0" fontId="2" fillId="0" borderId="99" xfId="0" applyFont="1" applyBorder="1" applyAlignment="1">
      <alignment horizontal="center" vertical="center"/>
    </xf>
    <xf numFmtId="0" fontId="0" fillId="6" borderId="96" xfId="0" applyFill="1" applyBorder="1" applyAlignment="1">
      <alignment horizontal="left" vertical="center"/>
    </xf>
    <xf numFmtId="0" fontId="2" fillId="0" borderId="96" xfId="0" applyFont="1" applyBorder="1" applyAlignment="1">
      <alignment horizontal="left" vertical="center" indent="1"/>
    </xf>
    <xf numFmtId="0" fontId="2" fillId="6" borderId="97" xfId="0" applyFont="1" applyFill="1" applyBorder="1" applyAlignment="1">
      <alignment horizontal="center" vertical="center"/>
    </xf>
    <xf numFmtId="0" fontId="2" fillId="6" borderId="99" xfId="0" applyFont="1" applyFill="1" applyBorder="1" applyAlignment="1">
      <alignment horizontal="right" vertical="center"/>
    </xf>
    <xf numFmtId="0" fontId="2" fillId="0" borderId="96" xfId="0" applyFont="1" applyBorder="1" applyAlignment="1">
      <alignment horizontal="center" vertical="center"/>
    </xf>
    <xf numFmtId="0" fontId="0" fillId="6" borderId="97" xfId="0" applyFill="1" applyBorder="1" applyAlignment="1">
      <alignment horizontal="left" vertical="center"/>
    </xf>
    <xf numFmtId="0" fontId="0" fillId="6" borderId="98" xfId="0" applyFill="1" applyBorder="1" applyAlignment="1">
      <alignment horizontal="left" vertical="center"/>
    </xf>
    <xf numFmtId="0" fontId="0" fillId="6" borderId="98" xfId="0" applyFill="1" applyBorder="1" applyAlignment="1">
      <alignment horizontal="center" vertical="center"/>
    </xf>
    <xf numFmtId="0" fontId="2" fillId="6" borderId="97" xfId="0" applyFont="1" applyFill="1" applyBorder="1" applyAlignment="1">
      <alignment vertical="center"/>
    </xf>
    <xf numFmtId="0" fontId="2" fillId="4" borderId="96" xfId="0" applyFont="1" applyFill="1" applyBorder="1" applyAlignment="1">
      <alignment horizontal="center" vertical="center"/>
    </xf>
    <xf numFmtId="0" fontId="9" fillId="15" borderId="96" xfId="2" applyFont="1" applyFill="1" applyBorder="1" applyAlignment="1">
      <alignment horizontal="center" vertical="center"/>
    </xf>
    <xf numFmtId="164" fontId="2" fillId="0" borderId="96" xfId="1" applyNumberFormat="1" applyFont="1" applyFill="1" applyBorder="1" applyAlignment="1">
      <alignment horizontal="center" vertical="center"/>
    </xf>
    <xf numFmtId="1" fontId="2" fillId="0" borderId="96" xfId="1" applyNumberFormat="1" applyFont="1" applyBorder="1" applyAlignment="1">
      <alignment horizontal="center" vertical="center"/>
    </xf>
    <xf numFmtId="9" fontId="5" fillId="0" borderId="87" xfId="3" applyFont="1" applyBorder="1" applyAlignment="1" applyProtection="1">
      <alignment horizontal="center" vertical="center"/>
    </xf>
    <xf numFmtId="9" fontId="5" fillId="0" borderId="71" xfId="3" applyFont="1" applyBorder="1" applyAlignment="1" applyProtection="1">
      <alignment horizontal="center" vertical="center"/>
    </xf>
    <xf numFmtId="0" fontId="5" fillId="0" borderId="71" xfId="2" applyFont="1" applyBorder="1" applyAlignment="1">
      <alignment horizontal="center" vertical="center"/>
    </xf>
    <xf numFmtId="1" fontId="2" fillId="0" borderId="96" xfId="1" applyNumberFormat="1" applyFont="1" applyFill="1" applyBorder="1" applyAlignment="1">
      <alignment horizontal="center" vertical="center"/>
    </xf>
    <xf numFmtId="9" fontId="5" fillId="0" borderId="103" xfId="3" applyFont="1" applyBorder="1" applyAlignment="1" applyProtection="1">
      <alignment horizontal="center" vertical="center"/>
    </xf>
    <xf numFmtId="164" fontId="8" fillId="0" borderId="91" xfId="1" applyNumberFormat="1" applyFont="1" applyFill="1" applyBorder="1" applyAlignment="1">
      <alignment horizontal="center" vertical="center"/>
    </xf>
    <xf numFmtId="0" fontId="10" fillId="0" borderId="104" xfId="2" applyFont="1" applyBorder="1" applyAlignment="1">
      <alignment horizontal="center" vertical="center"/>
    </xf>
    <xf numFmtId="1" fontId="2" fillId="0" borderId="91" xfId="1" applyNumberFormat="1" applyFont="1" applyBorder="1" applyAlignment="1">
      <alignment horizontal="center" vertical="center"/>
    </xf>
    <xf numFmtId="164" fontId="8" fillId="0" borderId="96" xfId="1" applyNumberFormat="1" applyFont="1" applyFill="1" applyBorder="1" applyAlignment="1">
      <alignment horizontal="center" vertical="center"/>
    </xf>
    <xf numFmtId="0" fontId="10" fillId="0" borderId="88" xfId="2" applyFont="1" applyBorder="1" applyAlignment="1">
      <alignment horizontal="center" vertical="center"/>
    </xf>
    <xf numFmtId="9" fontId="10" fillId="0" borderId="87" xfId="3" applyFont="1" applyBorder="1" applyAlignment="1" applyProtection="1">
      <alignment horizontal="center" vertical="center"/>
    </xf>
    <xf numFmtId="1" fontId="8" fillId="0" borderId="96" xfId="1" applyNumberFormat="1" applyFont="1" applyBorder="1" applyAlignment="1">
      <alignment horizontal="center" vertical="center"/>
    </xf>
    <xf numFmtId="1" fontId="5" fillId="17" borderId="94" xfId="3" applyNumberFormat="1" applyFont="1" applyFill="1" applyBorder="1" applyAlignment="1" applyProtection="1">
      <alignment horizontal="center" vertical="center"/>
    </xf>
    <xf numFmtId="1" fontId="5" fillId="17" borderId="95" xfId="3" applyNumberFormat="1" applyFont="1" applyFill="1" applyBorder="1" applyAlignment="1" applyProtection="1">
      <alignment horizontal="center" vertical="center"/>
    </xf>
    <xf numFmtId="164" fontId="2" fillId="0" borderId="96" xfId="1" applyNumberFormat="1" applyFont="1" applyFill="1" applyBorder="1" applyAlignment="1">
      <alignment horizontal="center" vertical="center" wrapText="1"/>
    </xf>
    <xf numFmtId="1" fontId="2" fillId="0" borderId="96" xfId="1" applyNumberFormat="1" applyFont="1" applyFill="1" applyBorder="1" applyAlignment="1">
      <alignment horizontal="center" vertical="center" wrapText="1"/>
    </xf>
    <xf numFmtId="164" fontId="2" fillId="0" borderId="99" xfId="1" applyNumberFormat="1" applyFont="1" applyFill="1" applyBorder="1" applyAlignment="1">
      <alignment horizontal="center" vertical="center" wrapText="1"/>
    </xf>
    <xf numFmtId="2" fontId="8" fillId="0" borderId="96" xfId="1" applyNumberFormat="1" applyFont="1" applyFill="1" applyBorder="1" applyAlignment="1">
      <alignment horizontal="center" vertical="center" wrapText="1"/>
    </xf>
    <xf numFmtId="0" fontId="2" fillId="0" borderId="96" xfId="0" applyFont="1" applyBorder="1" applyAlignment="1">
      <alignment horizontal="right" vertical="center" wrapText="1"/>
    </xf>
    <xf numFmtId="0" fontId="2" fillId="0" borderId="96" xfId="0" applyFont="1" applyBorder="1" applyAlignment="1">
      <alignment horizontal="left" vertical="center" wrapText="1" indent="1"/>
    </xf>
    <xf numFmtId="0" fontId="2" fillId="6" borderId="96" xfId="0" applyFont="1" applyFill="1" applyBorder="1" applyAlignment="1">
      <alignment horizontal="center" vertical="center" wrapText="1"/>
    </xf>
    <xf numFmtId="0" fontId="0" fillId="6" borderId="97" xfId="0" applyFill="1" applyBorder="1" applyAlignment="1">
      <alignment horizontal="left" vertical="center" wrapText="1"/>
    </xf>
    <xf numFmtId="0" fontId="0" fillId="6" borderId="98" xfId="0" applyFill="1" applyBorder="1" applyAlignment="1">
      <alignment horizontal="left" vertical="center" wrapText="1"/>
    </xf>
    <xf numFmtId="0" fontId="0" fillId="6" borderId="98" xfId="0" applyFill="1" applyBorder="1" applyAlignment="1">
      <alignment horizontal="center" vertical="center" wrapText="1"/>
    </xf>
    <xf numFmtId="0" fontId="2" fillId="0" borderId="96" xfId="0" applyFont="1" applyBorder="1" applyAlignment="1">
      <alignment horizontal="center" vertical="center" wrapText="1"/>
    </xf>
    <xf numFmtId="0" fontId="0" fillId="6" borderId="96" xfId="0" applyFill="1" applyBorder="1" applyAlignment="1">
      <alignment horizontal="left" vertical="center" wrapText="1"/>
    </xf>
    <xf numFmtId="0" fontId="7" fillId="15" borderId="96" xfId="2" applyFont="1" applyFill="1" applyBorder="1" applyAlignment="1">
      <alignment horizontal="center" vertical="center" wrapText="1"/>
    </xf>
    <xf numFmtId="9" fontId="8" fillId="0" borderId="96" xfId="3" applyFont="1" applyBorder="1" applyAlignment="1" applyProtection="1">
      <alignment horizontal="center" vertical="center" wrapText="1"/>
    </xf>
    <xf numFmtId="164" fontId="8" fillId="0" borderId="96" xfId="1" applyNumberFormat="1" applyFont="1" applyFill="1" applyBorder="1" applyAlignment="1">
      <alignment horizontal="center" vertical="center" wrapText="1"/>
    </xf>
    <xf numFmtId="1" fontId="2" fillId="17" borderId="104" xfId="3" applyNumberFormat="1" applyFont="1" applyFill="1" applyBorder="1" applyAlignment="1" applyProtection="1">
      <alignment horizontal="center" vertical="center" wrapText="1"/>
    </xf>
    <xf numFmtId="1" fontId="19" fillId="17" borderId="95" xfId="3" applyNumberFormat="1" applyFont="1" applyFill="1" applyBorder="1" applyAlignment="1" applyProtection="1">
      <alignment horizontal="center" vertical="center" wrapText="1"/>
    </xf>
    <xf numFmtId="1" fontId="2" fillId="0" borderId="96" xfId="1" applyNumberFormat="1" applyFont="1" applyBorder="1" applyAlignment="1">
      <alignment horizontal="center" vertical="center" wrapText="1"/>
    </xf>
    <xf numFmtId="164" fontId="2" fillId="4" borderId="96" xfId="1" applyNumberFormat="1" applyFont="1" applyFill="1" applyBorder="1" applyAlignment="1">
      <alignment horizontal="center" vertical="center"/>
    </xf>
    <xf numFmtId="1" fontId="2" fillId="4" borderId="96" xfId="1" applyNumberFormat="1" applyFont="1" applyFill="1" applyBorder="1" applyAlignment="1">
      <alignment horizontal="center" vertical="center" wrapText="1"/>
    </xf>
    <xf numFmtId="1" fontId="19" fillId="17" borderId="94" xfId="3" applyNumberFormat="1" applyFont="1" applyFill="1" applyBorder="1" applyAlignment="1" applyProtection="1">
      <alignment horizontal="center" vertical="center" wrapText="1"/>
    </xf>
    <xf numFmtId="164" fontId="2" fillId="4" borderId="99" xfId="1" applyNumberFormat="1" applyFont="1" applyFill="1" applyBorder="1" applyAlignment="1">
      <alignment horizontal="center" vertical="center" wrapText="1"/>
    </xf>
    <xf numFmtId="2" fontId="2" fillId="4" borderId="96" xfId="1" applyNumberFormat="1" applyFont="1" applyFill="1" applyBorder="1" applyAlignment="1">
      <alignment horizontal="center" vertical="center" wrapText="1"/>
    </xf>
    <xf numFmtId="2" fontId="2" fillId="0" borderId="96" xfId="1" applyNumberFormat="1" applyFont="1" applyBorder="1" applyAlignment="1">
      <alignment horizontal="center" vertical="center" wrapText="1"/>
    </xf>
    <xf numFmtId="0" fontId="33" fillId="0" borderId="105" xfId="0" applyFont="1" applyBorder="1" applyAlignment="1">
      <alignment horizontal="left" vertical="center" wrapText="1"/>
    </xf>
    <xf numFmtId="0" fontId="33" fillId="0" borderId="106" xfId="0" applyFont="1" applyBorder="1" applyAlignment="1">
      <alignment horizontal="left" vertical="center" wrapText="1"/>
    </xf>
    <xf numFmtId="0" fontId="33" fillId="0" borderId="107" xfId="0" applyFont="1" applyBorder="1" applyAlignment="1">
      <alignment horizontal="center" vertical="center" wrapText="1"/>
    </xf>
    <xf numFmtId="0" fontId="33" fillId="0" borderId="108" xfId="0" applyFont="1" applyBorder="1" applyAlignment="1">
      <alignment horizontal="center" vertical="center" wrapText="1"/>
    </xf>
    <xf numFmtId="0" fontId="9" fillId="20" borderId="106" xfId="0" applyFont="1" applyFill="1" applyBorder="1" applyAlignment="1">
      <alignment horizontal="left" vertical="center" wrapText="1"/>
    </xf>
    <xf numFmtId="0" fontId="33" fillId="4" borderId="106" xfId="0" applyFont="1" applyFill="1" applyBorder="1" applyAlignment="1">
      <alignment horizontal="left" vertical="center" wrapText="1"/>
    </xf>
    <xf numFmtId="0" fontId="32" fillId="0" borderId="106" xfId="0" applyFont="1" applyBorder="1"/>
    <xf numFmtId="49" fontId="32" fillId="0" borderId="106" xfId="0" applyNumberFormat="1" applyFont="1" applyBorder="1"/>
    <xf numFmtId="0" fontId="32" fillId="0" borderId="107" xfId="0" applyFont="1" applyBorder="1" applyAlignment="1">
      <alignment horizontal="center"/>
    </xf>
    <xf numFmtId="0" fontId="15" fillId="20" borderId="107" xfId="0" applyFont="1" applyFill="1" applyBorder="1" applyAlignment="1">
      <alignment horizontal="left" vertical="center" wrapText="1"/>
    </xf>
    <xf numFmtId="0" fontId="15" fillId="20" borderId="106" xfId="0" applyFont="1" applyFill="1" applyBorder="1" applyAlignment="1">
      <alignment horizontal="left" vertical="center" wrapText="1"/>
    </xf>
    <xf numFmtId="0" fontId="9" fillId="20" borderId="107" xfId="0" applyFont="1" applyFill="1" applyBorder="1" applyAlignment="1">
      <alignment vertical="center" wrapText="1"/>
    </xf>
    <xf numFmtId="0" fontId="32" fillId="0" borderId="107" xfId="0" applyFont="1" applyBorder="1" applyAlignment="1">
      <alignment horizontal="center" vertical="center" wrapText="1"/>
    </xf>
    <xf numFmtId="0" fontId="34" fillId="0" borderId="105" xfId="0" applyFont="1" applyBorder="1" applyAlignment="1">
      <alignment horizontal="left" vertical="center" wrapText="1"/>
    </xf>
    <xf numFmtId="0" fontId="34" fillId="0" borderId="107" xfId="0" applyFont="1" applyBorder="1" applyAlignment="1">
      <alignment horizontal="center" vertical="center" wrapText="1"/>
    </xf>
    <xf numFmtId="0" fontId="34" fillId="0" borderId="106" xfId="0" applyFont="1" applyBorder="1" applyAlignment="1">
      <alignment horizontal="left" vertical="center" wrapText="1"/>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0" fontId="33" fillId="0" borderId="111" xfId="0" applyFont="1" applyBorder="1" applyAlignment="1">
      <alignment horizontal="center" vertical="center" wrapText="1"/>
    </xf>
    <xf numFmtId="10" fontId="33" fillId="0" borderId="107" xfId="0" applyNumberFormat="1" applyFont="1" applyBorder="1" applyAlignment="1">
      <alignment horizontal="center" vertical="center" wrapText="1"/>
    </xf>
    <xf numFmtId="10" fontId="33" fillId="0" borderId="108" xfId="0" applyNumberFormat="1" applyFont="1" applyBorder="1" applyAlignment="1">
      <alignment horizontal="center" vertical="center" wrapText="1"/>
    </xf>
    <xf numFmtId="0" fontId="3" fillId="0" borderId="106" xfId="0" applyFont="1" applyBorder="1" applyAlignment="1">
      <alignment wrapText="1"/>
    </xf>
    <xf numFmtId="0" fontId="10" fillId="0" borderId="106" xfId="0" applyFont="1" applyBorder="1" applyAlignment="1">
      <alignment wrapText="1"/>
    </xf>
    <xf numFmtId="0" fontId="2" fillId="0" borderId="112" xfId="0" applyFont="1" applyBorder="1" applyAlignment="1">
      <alignment horizontal="left"/>
    </xf>
    <xf numFmtId="0" fontId="0" fillId="0" borderId="112" xfId="0" applyBorder="1" applyAlignment="1">
      <alignment horizontal="left"/>
    </xf>
    <xf numFmtId="0" fontId="0" fillId="0" borderId="112" xfId="0" applyBorder="1" applyAlignment="1" applyProtection="1">
      <alignment horizontal="left" vertical="center"/>
      <protection locked="0"/>
    </xf>
    <xf numFmtId="0" fontId="0" fillId="0" borderId="112" xfId="0" applyBorder="1" applyAlignment="1" applyProtection="1">
      <alignment horizontal="left"/>
      <protection locked="0"/>
    </xf>
    <xf numFmtId="0" fontId="0" fillId="0" borderId="112" xfId="0" applyBorder="1" applyAlignment="1">
      <alignment horizontal="left" vertical="center"/>
    </xf>
    <xf numFmtId="0" fontId="0" fillId="0" borderId="112" xfId="0" applyBorder="1" applyAlignment="1">
      <alignment horizontal="left" wrapText="1"/>
    </xf>
    <xf numFmtId="0" fontId="39" fillId="25" borderId="1" xfId="4" applyFont="1" applyFill="1" applyBorder="1" applyAlignment="1" applyProtection="1">
      <alignment horizontal="center" vertical="center" wrapText="1"/>
      <protection locked="0"/>
    </xf>
    <xf numFmtId="0" fontId="39" fillId="0" borderId="1" xfId="4" applyFont="1" applyBorder="1" applyAlignment="1" applyProtection="1">
      <alignment vertical="center" wrapText="1"/>
      <protection locked="0"/>
    </xf>
    <xf numFmtId="0" fontId="39" fillId="0" borderId="16" xfId="4" applyFont="1" applyBorder="1" applyAlignment="1" applyProtection="1">
      <alignment vertical="center" wrapText="1"/>
      <protection locked="0"/>
    </xf>
    <xf numFmtId="0" fontId="39" fillId="0" borderId="13" xfId="4" applyFont="1" applyBorder="1" applyAlignment="1" applyProtection="1">
      <alignment vertical="center" wrapText="1"/>
      <protection locked="0"/>
    </xf>
    <xf numFmtId="0" fontId="39" fillId="0" borderId="1" xfId="4" applyFont="1" applyBorder="1" applyAlignment="1" applyProtection="1">
      <alignment horizontal="center" vertical="center" wrapText="1"/>
      <protection locked="0"/>
    </xf>
    <xf numFmtId="0" fontId="39" fillId="0" borderId="18" xfId="4" applyFont="1" applyBorder="1" applyAlignment="1" applyProtection="1">
      <alignment vertical="center" wrapText="1"/>
      <protection locked="0"/>
    </xf>
    <xf numFmtId="0" fontId="39" fillId="0" borderId="2" xfId="4" applyFont="1" applyBorder="1" applyAlignment="1" applyProtection="1">
      <alignment vertical="center" wrapText="1"/>
      <protection locked="0"/>
    </xf>
    <xf numFmtId="0" fontId="39" fillId="0" borderId="96" xfId="4" applyFont="1" applyBorder="1" applyAlignment="1" applyProtection="1">
      <alignment vertical="center" wrapText="1"/>
      <protection locked="0"/>
    </xf>
    <xf numFmtId="0" fontId="39" fillId="0" borderId="97" xfId="4" applyFont="1" applyBorder="1" applyAlignment="1" applyProtection="1">
      <alignment vertical="center" wrapText="1"/>
      <protection locked="0"/>
    </xf>
    <xf numFmtId="0" fontId="39" fillId="25" borderId="96" xfId="4" applyFont="1" applyFill="1" applyBorder="1" applyAlignment="1" applyProtection="1">
      <alignment horizontal="center" vertical="center" wrapText="1"/>
      <protection locked="0"/>
    </xf>
    <xf numFmtId="0" fontId="2" fillId="22" borderId="52" xfId="0" applyFont="1" applyFill="1" applyBorder="1" applyAlignment="1">
      <alignment horizontal="left" vertical="center" wrapText="1"/>
    </xf>
    <xf numFmtId="0" fontId="7" fillId="22" borderId="52" xfId="0" applyFont="1" applyFill="1" applyBorder="1" applyAlignment="1">
      <alignment horizontal="left" vertical="center" wrapText="1"/>
    </xf>
    <xf numFmtId="0" fontId="2" fillId="22" borderId="51" xfId="0" applyFont="1" applyFill="1" applyBorder="1" applyAlignment="1">
      <alignment horizontal="left" vertical="center" wrapText="1"/>
    </xf>
    <xf numFmtId="0" fontId="2" fillId="22" borderId="0" xfId="0" applyFont="1" applyFill="1" applyAlignment="1">
      <alignment horizontal="left" vertical="center" wrapText="1"/>
    </xf>
    <xf numFmtId="0" fontId="2" fillId="27" borderId="116" xfId="0" applyFont="1" applyFill="1" applyBorder="1" applyAlignment="1">
      <alignment horizontal="left" vertical="center" wrapText="1"/>
    </xf>
    <xf numFmtId="0" fontId="2" fillId="22" borderId="23" xfId="0" applyFont="1" applyFill="1" applyBorder="1" applyAlignment="1">
      <alignment horizontal="left" vertical="center" wrapText="1"/>
    </xf>
    <xf numFmtId="0" fontId="7" fillId="23" borderId="117" xfId="0" applyFont="1" applyFill="1" applyBorder="1" applyAlignment="1">
      <alignment horizontal="left" vertical="center"/>
    </xf>
    <xf numFmtId="0" fontId="7" fillId="23" borderId="118" xfId="0" applyFont="1" applyFill="1" applyBorder="1" applyAlignment="1">
      <alignment horizontal="left" vertical="center"/>
    </xf>
    <xf numFmtId="0" fontId="43" fillId="23" borderId="118" xfId="0" applyFont="1" applyFill="1" applyBorder="1" applyAlignment="1">
      <alignment horizontal="left" vertical="center"/>
    </xf>
    <xf numFmtId="0" fontId="43" fillId="23" borderId="118" xfId="0" applyFont="1" applyFill="1" applyBorder="1" applyAlignment="1" applyProtection="1">
      <alignment horizontal="left" vertical="center" wrapText="1"/>
      <protection locked="0"/>
    </xf>
    <xf numFmtId="0" fontId="43" fillId="23" borderId="118" xfId="0" applyFont="1" applyFill="1" applyBorder="1" applyAlignment="1" applyProtection="1">
      <alignment horizontal="center" vertical="center"/>
      <protection locked="0"/>
    </xf>
    <xf numFmtId="0" fontId="7" fillId="23" borderId="118" xfId="0" applyFont="1" applyFill="1" applyBorder="1" applyAlignment="1">
      <alignment horizontal="center" vertical="center"/>
    </xf>
    <xf numFmtId="0" fontId="0" fillId="23" borderId="118" xfId="0" applyFill="1" applyBorder="1" applyAlignment="1">
      <alignment horizontal="center" vertical="center"/>
    </xf>
    <xf numFmtId="0" fontId="0" fillId="0" borderId="91" xfId="0" applyBorder="1" applyAlignment="1" applyProtection="1">
      <alignment horizontal="left" vertical="center"/>
      <protection locked="0"/>
    </xf>
    <xf numFmtId="1" fontId="0" fillId="0" borderId="91" xfId="0" applyNumberFormat="1" applyBorder="1" applyAlignment="1" applyProtection="1">
      <alignment horizontal="center" vertical="center"/>
      <protection locked="0"/>
    </xf>
    <xf numFmtId="0" fontId="0" fillId="0" borderId="112" xfId="0" applyBorder="1" applyAlignment="1" applyProtection="1">
      <alignment horizontal="left" vertical="center" wrapText="1"/>
      <protection locked="0"/>
    </xf>
    <xf numFmtId="2" fontId="0" fillId="0" borderId="112" xfId="0" applyNumberFormat="1" applyBorder="1" applyAlignment="1" applyProtection="1">
      <alignment horizontal="center" vertical="center"/>
      <protection locked="0"/>
    </xf>
    <xf numFmtId="0" fontId="0" fillId="0" borderId="114" xfId="0" applyBorder="1" applyAlignment="1" applyProtection="1">
      <alignment horizontal="left" vertical="center"/>
      <protection locked="0"/>
    </xf>
    <xf numFmtId="2" fontId="0" fillId="0" borderId="52" xfId="0" applyNumberFormat="1" applyBorder="1" applyAlignment="1" applyProtection="1">
      <alignment horizontal="center" vertical="center"/>
      <protection locked="0"/>
    </xf>
    <xf numFmtId="0" fontId="30" fillId="6" borderId="78" xfId="0" applyFont="1" applyFill="1" applyBorder="1" applyAlignment="1">
      <alignment horizontal="center" vertical="center"/>
    </xf>
    <xf numFmtId="0" fontId="30" fillId="26" borderId="114" xfId="0" applyFont="1" applyFill="1" applyBorder="1" applyAlignment="1" applyProtection="1">
      <alignment horizontal="left" vertical="center"/>
      <protection locked="0"/>
    </xf>
    <xf numFmtId="0" fontId="30" fillId="0" borderId="114" xfId="0" applyFont="1" applyBorder="1" applyAlignment="1" applyProtection="1">
      <alignment horizontal="left" vertical="center"/>
      <protection locked="0"/>
    </xf>
    <xf numFmtId="0" fontId="30" fillId="26" borderId="113" xfId="0" applyFont="1" applyFill="1" applyBorder="1" applyAlignment="1">
      <alignment horizontal="center" vertical="center"/>
    </xf>
    <xf numFmtId="0" fontId="30" fillId="0" borderId="113" xfId="0" applyFont="1" applyBorder="1" applyAlignment="1">
      <alignment horizontal="center" vertical="center"/>
    </xf>
    <xf numFmtId="0" fontId="30" fillId="6" borderId="113" xfId="0" applyFont="1" applyFill="1" applyBorder="1" applyAlignment="1">
      <alignment horizontal="center" vertical="center"/>
    </xf>
    <xf numFmtId="0" fontId="31" fillId="0" borderId="115" xfId="0" applyFont="1" applyBorder="1" applyAlignment="1">
      <alignment horizontal="left" vertical="center" wrapText="1"/>
    </xf>
    <xf numFmtId="0" fontId="31" fillId="0" borderId="119" xfId="0" applyFont="1" applyBorder="1" applyAlignment="1">
      <alignment horizontal="left" vertical="center" wrapText="1"/>
    </xf>
    <xf numFmtId="0" fontId="31" fillId="0" borderId="119"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0" xfId="0" applyFont="1" applyAlignment="1">
      <alignment vertical="center"/>
    </xf>
    <xf numFmtId="0" fontId="30" fillId="26" borderId="23" xfId="0" applyFont="1" applyFill="1" applyBorder="1" applyAlignment="1" applyProtection="1">
      <alignment horizontal="left" vertical="center"/>
      <protection locked="0"/>
    </xf>
    <xf numFmtId="0" fontId="30" fillId="26" borderId="52" xfId="0" applyFont="1" applyFill="1" applyBorder="1" applyAlignment="1" applyProtection="1">
      <alignment horizontal="left" vertical="center"/>
      <protection locked="0"/>
    </xf>
    <xf numFmtId="0" fontId="30" fillId="26" borderId="52" xfId="0" applyFont="1" applyFill="1" applyBorder="1" applyAlignment="1">
      <alignment horizontal="left" vertical="center"/>
    </xf>
    <xf numFmtId="0" fontId="30" fillId="0" borderId="78" xfId="0" applyFont="1" applyBorder="1" applyAlignment="1" applyProtection="1">
      <alignment horizontal="left" vertical="center" wrapText="1"/>
      <protection locked="0"/>
    </xf>
    <xf numFmtId="0" fontId="30" fillId="26" borderId="52" xfId="0" applyFont="1" applyFill="1" applyBorder="1" applyAlignment="1">
      <alignment horizontal="left" vertical="center" wrapText="1"/>
    </xf>
    <xf numFmtId="0" fontId="30" fillId="26" borderId="52" xfId="0" applyFont="1" applyFill="1" applyBorder="1" applyAlignment="1">
      <alignment horizontal="center" vertical="center"/>
    </xf>
    <xf numFmtId="9" fontId="30" fillId="26" borderId="52" xfId="1" applyFont="1" applyFill="1" applyBorder="1" applyAlignment="1">
      <alignment horizontal="center" vertical="center"/>
    </xf>
    <xf numFmtId="14" fontId="30" fillId="26" borderId="52" xfId="0" applyNumberFormat="1" applyFont="1" applyFill="1" applyBorder="1" applyAlignment="1">
      <alignment horizontal="center" vertical="center"/>
    </xf>
    <xf numFmtId="44" fontId="30" fillId="26" borderId="52" xfId="0" applyNumberFormat="1" applyFont="1" applyFill="1" applyBorder="1" applyAlignment="1">
      <alignment horizontal="center" vertical="center"/>
    </xf>
    <xf numFmtId="1" fontId="30" fillId="26" borderId="52" xfId="0" applyNumberFormat="1" applyFont="1" applyFill="1" applyBorder="1" applyAlignment="1">
      <alignment horizontal="center" vertical="center"/>
    </xf>
    <xf numFmtId="10" fontId="30" fillId="26" borderId="52" xfId="0" applyNumberFormat="1" applyFont="1" applyFill="1" applyBorder="1" applyAlignment="1">
      <alignment horizontal="center" vertical="center"/>
    </xf>
    <xf numFmtId="0" fontId="30" fillId="26" borderId="51" xfId="0" applyFont="1" applyFill="1" applyBorder="1" applyAlignment="1">
      <alignment horizontal="center" vertical="center"/>
    </xf>
    <xf numFmtId="0" fontId="3" fillId="0" borderId="105" xfId="0" applyFont="1" applyBorder="1" applyAlignment="1">
      <alignment wrapText="1"/>
    </xf>
    <xf numFmtId="0" fontId="33" fillId="0" borderId="114" xfId="0" applyFont="1" applyBorder="1" applyAlignment="1">
      <alignment horizontal="center" vertical="center" wrapText="1"/>
    </xf>
    <xf numFmtId="0" fontId="33" fillId="0" borderId="120" xfId="0" applyFont="1" applyBorder="1" applyAlignment="1">
      <alignment horizontal="center" vertical="center" wrapText="1"/>
    </xf>
    <xf numFmtId="0" fontId="6" fillId="0" borderId="0" xfId="0" applyFont="1" applyAlignment="1">
      <alignment horizontal="center" vertical="center"/>
    </xf>
    <xf numFmtId="0" fontId="2" fillId="29" borderId="78" xfId="0" applyFont="1" applyFill="1" applyBorder="1" applyAlignment="1">
      <alignment horizontal="center" textRotation="90" wrapText="1"/>
    </xf>
    <xf numFmtId="0" fontId="31" fillId="29" borderId="78" xfId="0" applyFont="1" applyFill="1" applyBorder="1" applyAlignment="1">
      <alignment horizontal="center" vertical="center"/>
    </xf>
    <xf numFmtId="0" fontId="31" fillId="11" borderId="113" xfId="0" applyFont="1" applyFill="1" applyBorder="1" applyAlignment="1">
      <alignment horizontal="left" vertical="center" wrapText="1"/>
    </xf>
    <xf numFmtId="2" fontId="30" fillId="26" borderId="112" xfId="0" applyNumberFormat="1" applyFont="1" applyFill="1" applyBorder="1" applyAlignment="1">
      <alignment horizontal="center" vertical="center" wrapText="1"/>
    </xf>
    <xf numFmtId="2" fontId="30" fillId="0" borderId="112" xfId="0" applyNumberFormat="1" applyFont="1" applyBorder="1" applyAlignment="1">
      <alignment horizontal="center" vertical="center" wrapText="1"/>
    </xf>
    <xf numFmtId="2" fontId="0" fillId="0" borderId="121" xfId="0" applyNumberFormat="1" applyBorder="1" applyAlignment="1" applyProtection="1">
      <alignment horizontal="center" vertical="center"/>
      <protection locked="0"/>
    </xf>
    <xf numFmtId="0" fontId="2" fillId="0" borderId="122" xfId="0" applyFont="1" applyBorder="1" applyAlignment="1">
      <alignment horizontal="center" vertical="center"/>
    </xf>
    <xf numFmtId="0" fontId="2" fillId="0" borderId="112" xfId="0" applyFont="1" applyBorder="1" applyAlignment="1">
      <alignment horizontal="center" vertical="center"/>
    </xf>
    <xf numFmtId="2" fontId="2" fillId="28" borderId="122" xfId="0" applyNumberFormat="1" applyFont="1" applyFill="1" applyBorder="1" applyAlignment="1">
      <alignment horizontal="center" vertical="center"/>
    </xf>
    <xf numFmtId="2" fontId="2" fillId="28" borderId="112" xfId="0" applyNumberFormat="1" applyFont="1" applyFill="1" applyBorder="1" applyAlignment="1">
      <alignment horizontal="center" vertical="center"/>
    </xf>
    <xf numFmtId="2" fontId="2" fillId="28" borderId="123" xfId="0" applyNumberFormat="1" applyFont="1" applyFill="1" applyBorder="1" applyAlignment="1">
      <alignment horizontal="center" vertical="center"/>
    </xf>
    <xf numFmtId="0" fontId="42" fillId="0" borderId="78" xfId="0" applyFont="1" applyBorder="1" applyAlignment="1">
      <alignment horizontal="left" vertical="center" wrapText="1"/>
    </xf>
    <xf numFmtId="9" fontId="22" fillId="0" borderId="87" xfId="3" applyFont="1" applyBorder="1" applyAlignment="1" applyProtection="1">
      <alignment horizontal="center" vertical="center" wrapText="1"/>
    </xf>
    <xf numFmtId="0" fontId="5" fillId="0" borderId="96" xfId="2" applyFont="1" applyBorder="1" applyAlignment="1">
      <alignment horizontal="center" vertical="center" wrapText="1"/>
    </xf>
    <xf numFmtId="9" fontId="5" fillId="0" borderId="96" xfId="3" applyFont="1" applyBorder="1" applyAlignment="1" applyProtection="1">
      <alignment horizontal="center" vertical="center"/>
    </xf>
    <xf numFmtId="0" fontId="42" fillId="0" borderId="44" xfId="0" applyFont="1" applyBorder="1" applyAlignment="1">
      <alignment horizontal="left" vertical="center" wrapText="1"/>
    </xf>
    <xf numFmtId="165" fontId="0" fillId="0" borderId="0" xfId="0" applyNumberFormat="1" applyAlignment="1">
      <alignment horizontal="center" vertical="center"/>
    </xf>
    <xf numFmtId="2" fontId="0" fillId="0" borderId="0" xfId="0" applyNumberFormat="1" applyAlignment="1">
      <alignment horizontal="center" vertical="center" wrapText="1"/>
    </xf>
    <xf numFmtId="0" fontId="45" fillId="13" borderId="112" xfId="2" applyFont="1" applyFill="1" applyBorder="1" applyAlignment="1">
      <alignment horizontal="left" vertical="center" wrapText="1"/>
    </xf>
    <xf numFmtId="0" fontId="46" fillId="14" borderId="112" xfId="2" applyFont="1" applyFill="1" applyBorder="1" applyAlignment="1">
      <alignment horizontal="left" vertical="center" wrapText="1"/>
    </xf>
    <xf numFmtId="1" fontId="1" fillId="25" borderId="112" xfId="1" applyNumberFormat="1" applyFont="1" applyFill="1" applyBorder="1" applyAlignment="1">
      <alignment horizontal="left" vertical="center" wrapText="1"/>
    </xf>
    <xf numFmtId="1" fontId="1" fillId="28" borderId="112" xfId="1" applyNumberFormat="1" applyFont="1" applyFill="1" applyBorder="1" applyAlignment="1">
      <alignment horizontal="left" vertical="center" wrapText="1"/>
    </xf>
    <xf numFmtId="0" fontId="0" fillId="25" borderId="112" xfId="0" applyFill="1" applyBorder="1" applyAlignment="1">
      <alignment horizontal="left" vertical="center" wrapText="1"/>
    </xf>
    <xf numFmtId="0" fontId="0" fillId="28" borderId="112" xfId="0" applyFill="1" applyBorder="1" applyAlignment="1">
      <alignment horizontal="left" vertical="center" wrapText="1"/>
    </xf>
    <xf numFmtId="0" fontId="0" fillId="17" borderId="112" xfId="0" applyFill="1" applyBorder="1" applyAlignment="1">
      <alignment horizontal="left" vertical="center" wrapText="1"/>
    </xf>
    <xf numFmtId="0" fontId="45" fillId="13" borderId="112" xfId="2" applyFont="1" applyFill="1" applyBorder="1" applyAlignment="1">
      <alignment vertical="center" wrapText="1"/>
    </xf>
    <xf numFmtId="0" fontId="0" fillId="2" borderId="112" xfId="0" applyFill="1" applyBorder="1" applyAlignment="1">
      <alignment horizontal="left" vertical="center" wrapText="1"/>
    </xf>
    <xf numFmtId="0" fontId="23" fillId="2" borderId="97" xfId="2" applyFont="1" applyFill="1" applyBorder="1" applyAlignment="1" applyProtection="1">
      <alignment horizontal="center" vertical="center" wrapText="1"/>
      <protection locked="0"/>
    </xf>
    <xf numFmtId="0" fontId="23" fillId="2" borderId="98" xfId="2" applyFont="1" applyFill="1" applyBorder="1" applyAlignment="1" applyProtection="1">
      <alignment horizontal="center" vertical="center" wrapText="1"/>
      <protection locked="0"/>
    </xf>
    <xf numFmtId="0" fontId="23" fillId="2" borderId="99" xfId="2" applyFont="1" applyFill="1" applyBorder="1" applyAlignment="1" applyProtection="1">
      <alignment horizontal="center" vertical="center" wrapText="1"/>
      <protection locked="0"/>
    </xf>
    <xf numFmtId="1" fontId="23" fillId="2" borderId="96" xfId="4" applyNumberFormat="1" applyFont="1" applyFill="1" applyBorder="1" applyAlignment="1">
      <alignment horizontal="center" vertical="center" wrapText="1"/>
    </xf>
    <xf numFmtId="0" fontId="23" fillId="2" borderId="96" xfId="4" applyFont="1" applyFill="1" applyBorder="1" applyAlignment="1">
      <alignment horizontal="center" vertical="center" wrapText="1"/>
    </xf>
    <xf numFmtId="0" fontId="24" fillId="0" borderId="0" xfId="4" applyFont="1" applyAlignment="1" applyProtection="1">
      <alignment horizontal="left" vertical="center" wrapText="1"/>
      <protection locked="0"/>
    </xf>
    <xf numFmtId="0" fontId="24" fillId="0" borderId="0" xfId="4" applyFont="1" applyAlignment="1" applyProtection="1">
      <alignment horizontal="left" vertical="center"/>
      <protection locked="0"/>
    </xf>
    <xf numFmtId="0" fontId="9" fillId="20" borderId="97" xfId="2" applyFont="1" applyFill="1" applyBorder="1" applyAlignment="1" applyProtection="1">
      <alignment horizontal="center" vertical="center" wrapText="1"/>
      <protection locked="0"/>
    </xf>
    <xf numFmtId="0" fontId="9" fillId="20" borderId="98" xfId="2" applyFont="1" applyFill="1" applyBorder="1" applyAlignment="1" applyProtection="1">
      <alignment horizontal="center" vertical="center" wrapText="1"/>
      <protection locked="0"/>
    </xf>
    <xf numFmtId="0" fontId="9" fillId="20" borderId="99" xfId="2" applyFont="1" applyFill="1" applyBorder="1" applyAlignment="1" applyProtection="1">
      <alignment horizontal="center" vertical="center" wrapText="1"/>
      <protection locked="0"/>
    </xf>
    <xf numFmtId="1" fontId="9" fillId="20" borderId="96" xfId="4" applyNumberFormat="1" applyFont="1" applyFill="1" applyBorder="1" applyAlignment="1">
      <alignment horizontal="center" vertical="center" wrapText="1"/>
    </xf>
    <xf numFmtId="0" fontId="9" fillId="20" borderId="96" xfId="4" applyFont="1" applyFill="1" applyBorder="1" applyAlignment="1">
      <alignment horizontal="center" vertical="center" wrapText="1"/>
    </xf>
    <xf numFmtId="0" fontId="10" fillId="13" borderId="53" xfId="4" applyFont="1" applyFill="1" applyBorder="1" applyAlignment="1" applyProtection="1">
      <alignment horizontal="left" vertical="center" wrapText="1"/>
      <protection locked="0"/>
    </xf>
    <xf numFmtId="0" fontId="10" fillId="13" borderId="100" xfId="4" applyFont="1" applyFill="1" applyBorder="1" applyAlignment="1" applyProtection="1">
      <alignment horizontal="left" vertical="center" wrapText="1"/>
      <protection locked="0"/>
    </xf>
    <xf numFmtId="0" fontId="10" fillId="13" borderId="101" xfId="4" applyFont="1" applyFill="1" applyBorder="1" applyAlignment="1" applyProtection="1">
      <alignment horizontal="left" vertical="center" wrapText="1"/>
      <protection locked="0"/>
    </xf>
    <xf numFmtId="0" fontId="9" fillId="24" borderId="96" xfId="4" applyFont="1" applyFill="1" applyBorder="1" applyAlignment="1" applyProtection="1">
      <alignment horizontal="center" vertical="center" wrapText="1"/>
      <protection locked="0"/>
    </xf>
    <xf numFmtId="0" fontId="9" fillId="15" borderId="96" xfId="4" applyFont="1" applyFill="1" applyBorder="1" applyAlignment="1" applyProtection="1">
      <alignment horizontal="center" vertical="center" wrapText="1"/>
      <protection locked="0"/>
    </xf>
    <xf numFmtId="1" fontId="10" fillId="25" borderId="96" xfId="4" applyNumberFormat="1" applyFont="1" applyFill="1" applyBorder="1" applyAlignment="1" applyProtection="1">
      <alignment horizontal="center" vertical="center" wrapText="1"/>
      <protection locked="0"/>
    </xf>
    <xf numFmtId="0" fontId="10" fillId="0" borderId="51" xfId="4" applyFont="1" applyBorder="1" applyAlignment="1" applyProtection="1">
      <alignment horizontal="left" vertical="center" wrapText="1"/>
      <protection locked="0"/>
    </xf>
    <xf numFmtId="0" fontId="10" fillId="0" borderId="23" xfId="4" applyFont="1" applyBorder="1" applyAlignment="1" applyProtection="1">
      <alignment horizontal="left" vertical="center" wrapText="1"/>
      <protection locked="0"/>
    </xf>
    <xf numFmtId="0" fontId="10" fillId="0" borderId="41" xfId="4" applyFont="1" applyBorder="1" applyAlignment="1" applyProtection="1">
      <alignment horizontal="left" vertical="center" wrapText="1"/>
      <protection locked="0"/>
    </xf>
    <xf numFmtId="0" fontId="10" fillId="0" borderId="47" xfId="4" applyFont="1" applyBorder="1" applyAlignment="1" applyProtection="1">
      <alignment horizontal="left" vertical="center" wrapText="1"/>
      <protection locked="0"/>
    </xf>
    <xf numFmtId="0" fontId="10" fillId="0" borderId="53" xfId="4" applyFont="1" applyBorder="1" applyAlignment="1" applyProtection="1">
      <alignment horizontal="left" vertical="center" wrapText="1"/>
      <protection locked="0"/>
    </xf>
    <xf numFmtId="0" fontId="10" fillId="0" borderId="101" xfId="4" applyFont="1" applyBorder="1" applyAlignment="1" applyProtection="1">
      <alignment horizontal="left" vertical="center" wrapText="1"/>
      <protection locked="0"/>
    </xf>
    <xf numFmtId="1" fontId="10" fillId="25" borderId="97" xfId="4" applyNumberFormat="1" applyFont="1" applyFill="1" applyBorder="1" applyAlignment="1" applyProtection="1">
      <alignment horizontal="center" vertical="center" wrapText="1"/>
      <protection locked="0"/>
    </xf>
    <xf numFmtId="1" fontId="10" fillId="25" borderId="99" xfId="4" applyNumberFormat="1" applyFont="1" applyFill="1" applyBorder="1" applyAlignment="1" applyProtection="1">
      <alignment horizontal="center" vertical="center" wrapText="1"/>
      <protection locked="0"/>
    </xf>
    <xf numFmtId="0" fontId="10" fillId="25" borderId="97" xfId="4" applyFont="1" applyFill="1" applyBorder="1" applyAlignment="1" applyProtection="1">
      <alignment horizontal="center" vertical="center" wrapText="1"/>
      <protection locked="0"/>
    </xf>
    <xf numFmtId="0" fontId="10" fillId="25" borderId="99" xfId="4" applyFont="1" applyFill="1" applyBorder="1" applyAlignment="1" applyProtection="1">
      <alignment horizontal="center" vertical="center" wrapText="1"/>
      <protection locked="0"/>
    </xf>
    <xf numFmtId="0" fontId="9" fillId="20" borderId="41" xfId="4" applyFont="1" applyFill="1" applyBorder="1" applyAlignment="1" applyProtection="1">
      <alignment horizontal="center" vertical="center" wrapText="1"/>
      <protection locked="0"/>
    </xf>
    <xf numFmtId="0" fontId="9" fillId="20" borderId="0" xfId="4" applyFont="1" applyFill="1" applyAlignment="1" applyProtection="1">
      <alignment horizontal="center" vertical="center" wrapText="1"/>
      <protection locked="0"/>
    </xf>
    <xf numFmtId="0" fontId="9" fillId="20" borderId="53" xfId="4" applyFont="1" applyFill="1" applyBorder="1" applyAlignment="1" applyProtection="1">
      <alignment horizontal="center" vertical="center" wrapText="1"/>
      <protection locked="0"/>
    </xf>
    <xf numFmtId="0" fontId="9" fillId="20" borderId="100" xfId="4" applyFont="1" applyFill="1" applyBorder="1" applyAlignment="1" applyProtection="1">
      <alignment horizontal="center" vertical="center" wrapText="1"/>
      <protection locked="0"/>
    </xf>
    <xf numFmtId="0" fontId="9" fillId="20" borderId="61" xfId="4" applyFont="1" applyFill="1" applyBorder="1" applyAlignment="1">
      <alignment horizontal="center" vertical="center" wrapText="1"/>
    </xf>
    <xf numFmtId="0" fontId="9" fillId="20" borderId="62" xfId="4" applyFont="1" applyFill="1" applyBorder="1" applyAlignment="1">
      <alignment horizontal="center" vertical="center" wrapText="1"/>
    </xf>
    <xf numFmtId="0" fontId="9" fillId="20" borderId="3" xfId="4" applyFont="1" applyFill="1" applyBorder="1" applyAlignment="1">
      <alignment horizontal="center" vertical="center" wrapText="1"/>
    </xf>
    <xf numFmtId="0" fontId="9" fillId="20" borderId="15" xfId="4" applyFont="1" applyFill="1" applyBorder="1" applyAlignment="1">
      <alignment horizontal="center" vertical="center" wrapText="1"/>
    </xf>
    <xf numFmtId="0" fontId="10" fillId="25" borderId="2" xfId="4" applyFont="1" applyFill="1" applyBorder="1" applyAlignment="1" applyProtection="1">
      <alignment horizontal="left" vertical="center" wrapText="1"/>
      <protection locked="0"/>
    </xf>
    <xf numFmtId="0" fontId="10" fillId="13" borderId="97" xfId="4" applyFont="1" applyFill="1" applyBorder="1" applyAlignment="1" applyProtection="1">
      <alignment horizontal="left" vertical="center" wrapText="1"/>
      <protection locked="0"/>
    </xf>
    <xf numFmtId="0" fontId="10" fillId="13" borderId="98" xfId="4" applyFont="1" applyFill="1" applyBorder="1" applyAlignment="1" applyProtection="1">
      <alignment horizontal="left" vertical="center" wrapText="1"/>
      <protection locked="0"/>
    </xf>
    <xf numFmtId="0" fontId="39" fillId="25" borderId="96" xfId="4" applyFont="1" applyFill="1" applyBorder="1" applyAlignment="1" applyProtection="1">
      <alignment horizontal="left" vertical="center" wrapText="1"/>
      <protection locked="0"/>
    </xf>
    <xf numFmtId="0" fontId="39" fillId="0" borderId="97" xfId="4" applyFont="1" applyBorder="1" applyAlignment="1" applyProtection="1">
      <alignment horizontal="left" vertical="center" wrapText="1"/>
      <protection locked="0"/>
    </xf>
    <xf numFmtId="0" fontId="39" fillId="0" borderId="99" xfId="4" applyFont="1" applyBorder="1" applyAlignment="1" applyProtection="1">
      <alignment horizontal="left" vertical="center" wrapText="1"/>
      <protection locked="0"/>
    </xf>
    <xf numFmtId="0" fontId="10" fillId="0" borderId="2" xfId="4" applyFont="1" applyBorder="1" applyAlignment="1" applyProtection="1">
      <alignment vertical="center" wrapText="1"/>
      <protection locked="0"/>
    </xf>
    <xf numFmtId="0" fontId="10" fillId="0" borderId="19" xfId="4" applyFont="1" applyBorder="1" applyAlignment="1" applyProtection="1">
      <alignment vertical="center" wrapText="1"/>
      <protection locked="0"/>
    </xf>
    <xf numFmtId="0" fontId="39" fillId="0" borderId="3" xfId="4" applyFont="1" applyBorder="1" applyAlignment="1" applyProtection="1">
      <alignment vertical="center" wrapText="1"/>
      <protection locked="0"/>
    </xf>
    <xf numFmtId="0" fontId="39" fillId="0" borderId="15" xfId="4" applyFont="1" applyBorder="1" applyAlignment="1" applyProtection="1">
      <alignment vertical="center" wrapText="1"/>
      <protection locked="0"/>
    </xf>
    <xf numFmtId="0" fontId="39" fillId="0" borderId="1" xfId="4" applyFont="1" applyBorder="1" applyAlignment="1" applyProtection="1">
      <alignment vertical="center" wrapText="1"/>
      <protection locked="0"/>
    </xf>
    <xf numFmtId="0" fontId="39" fillId="0" borderId="16" xfId="4" applyFont="1" applyBorder="1" applyAlignment="1" applyProtection="1">
      <alignment vertical="center" wrapText="1"/>
      <protection locked="0"/>
    </xf>
    <xf numFmtId="0" fontId="39" fillId="25" borderId="1" xfId="4" applyFont="1" applyFill="1" applyBorder="1" applyAlignment="1" applyProtection="1">
      <alignment horizontal="left" vertical="center" wrapText="1"/>
      <protection locked="0"/>
    </xf>
    <xf numFmtId="0" fontId="39" fillId="25" borderId="20" xfId="4" applyFont="1" applyFill="1" applyBorder="1" applyAlignment="1" applyProtection="1">
      <alignment horizontal="left" vertical="center" wrapText="1"/>
      <protection locked="0"/>
    </xf>
    <xf numFmtId="0" fontId="39" fillId="0" borderId="3" xfId="4" applyFont="1" applyBorder="1" applyAlignment="1" applyProtection="1">
      <alignment horizontal="left" vertical="center" wrapText="1"/>
      <protection locked="0"/>
    </xf>
    <xf numFmtId="0" fontId="39" fillId="0" borderId="20" xfId="4" applyFont="1" applyBorder="1" applyAlignment="1" applyProtection="1">
      <alignment horizontal="left" vertical="center" wrapText="1"/>
      <protection locked="0"/>
    </xf>
    <xf numFmtId="0" fontId="10" fillId="13" borderId="29" xfId="4" applyFont="1" applyFill="1" applyBorder="1" applyAlignment="1" applyProtection="1">
      <alignment horizontal="left" vertical="center" wrapText="1"/>
      <protection locked="0"/>
    </xf>
    <xf numFmtId="0" fontId="10" fillId="13" borderId="30" xfId="4" applyFont="1" applyFill="1" applyBorder="1" applyAlignment="1" applyProtection="1">
      <alignment horizontal="left" vertical="center" wrapText="1"/>
      <protection locked="0"/>
    </xf>
    <xf numFmtId="0" fontId="10" fillId="13" borderId="4" xfId="4" applyFont="1" applyFill="1" applyBorder="1" applyAlignment="1" applyProtection="1">
      <alignment horizontal="left" vertical="center" wrapText="1"/>
      <protection locked="0"/>
    </xf>
    <xf numFmtId="0" fontId="10" fillId="13" borderId="15" xfId="4" applyFont="1" applyFill="1" applyBorder="1" applyAlignment="1" applyProtection="1">
      <alignment horizontal="left" vertical="center" wrapText="1"/>
      <protection locked="0"/>
    </xf>
    <xf numFmtId="0" fontId="10" fillId="0" borderId="3" xfId="4" applyFont="1" applyBorder="1" applyAlignment="1" applyProtection="1">
      <alignment horizontal="left" vertical="center" wrapText="1"/>
      <protection locked="0"/>
    </xf>
    <xf numFmtId="0" fontId="10" fillId="0" borderId="15" xfId="4" applyFont="1" applyBorder="1" applyAlignment="1" applyProtection="1">
      <alignment horizontal="left" vertical="center" wrapText="1"/>
      <protection locked="0"/>
    </xf>
    <xf numFmtId="0" fontId="10" fillId="13" borderId="14" xfId="4" applyFont="1" applyFill="1" applyBorder="1" applyAlignment="1" applyProtection="1">
      <alignment horizontal="left" vertical="center" wrapText="1"/>
      <protection locked="0"/>
    </xf>
    <xf numFmtId="0" fontId="10" fillId="25" borderId="1" xfId="4" applyFont="1" applyFill="1" applyBorder="1" applyAlignment="1" applyProtection="1">
      <alignment horizontal="left" vertical="center" wrapText="1"/>
      <protection locked="0"/>
    </xf>
    <xf numFmtId="0" fontId="10" fillId="0" borderId="1" xfId="4" applyFont="1" applyBorder="1" applyAlignment="1" applyProtection="1">
      <alignment vertical="center" wrapText="1"/>
      <protection locked="0"/>
    </xf>
    <xf numFmtId="0" fontId="10" fillId="0" borderId="16" xfId="4" applyFont="1" applyBorder="1" applyAlignment="1" applyProtection="1">
      <alignment vertical="center" wrapText="1"/>
      <protection locked="0"/>
    </xf>
    <xf numFmtId="0" fontId="14" fillId="14" borderId="14" xfId="4" applyFont="1" applyFill="1" applyBorder="1" applyAlignment="1" applyProtection="1">
      <alignment horizontal="left" vertical="center" wrapText="1"/>
      <protection locked="0"/>
    </xf>
    <xf numFmtId="0" fontId="14" fillId="14" borderId="4" xfId="4" applyFont="1" applyFill="1" applyBorder="1" applyAlignment="1" applyProtection="1">
      <alignment horizontal="left" vertical="center" wrapText="1"/>
      <protection locked="0"/>
    </xf>
    <xf numFmtId="0" fontId="14" fillId="14" borderId="15" xfId="4" applyFont="1" applyFill="1" applyBorder="1" applyAlignment="1" applyProtection="1">
      <alignment horizontal="left" vertical="center" wrapText="1"/>
      <protection locked="0"/>
    </xf>
    <xf numFmtId="9" fontId="10" fillId="25" borderId="1" xfId="4" applyNumberFormat="1" applyFont="1" applyFill="1" applyBorder="1" applyAlignment="1" applyProtection="1">
      <alignment horizontal="center" vertical="center" wrapText="1"/>
      <protection locked="0"/>
    </xf>
    <xf numFmtId="0" fontId="10" fillId="25" borderId="1" xfId="4" applyFont="1" applyFill="1" applyBorder="1" applyAlignment="1" applyProtection="1">
      <alignment horizontal="center" vertical="center" wrapText="1"/>
      <protection locked="0"/>
    </xf>
    <xf numFmtId="9" fontId="10" fillId="25" borderId="3" xfId="4" applyNumberFormat="1" applyFont="1" applyFill="1" applyBorder="1" applyAlignment="1" applyProtection="1">
      <alignment horizontal="left" vertical="center" wrapText="1"/>
      <protection locked="0"/>
    </xf>
    <xf numFmtId="9" fontId="10" fillId="25" borderId="20" xfId="4" applyNumberFormat="1" applyFont="1" applyFill="1" applyBorder="1" applyAlignment="1" applyProtection="1">
      <alignment horizontal="left" vertical="center" wrapText="1"/>
      <protection locked="0"/>
    </xf>
    <xf numFmtId="0" fontId="39" fillId="0" borderId="15" xfId="4" applyFont="1" applyBorder="1" applyAlignment="1" applyProtection="1">
      <alignment horizontal="left" vertical="center" wrapText="1"/>
      <protection locked="0"/>
    </xf>
    <xf numFmtId="0" fontId="10" fillId="13" borderId="31" xfId="4" applyFont="1" applyFill="1" applyBorder="1" applyAlignment="1" applyProtection="1">
      <alignment horizontal="left" vertical="center" wrapText="1"/>
      <protection locked="0"/>
    </xf>
    <xf numFmtId="0" fontId="10" fillId="13" borderId="32" xfId="4" applyFont="1" applyFill="1" applyBorder="1" applyAlignment="1" applyProtection="1">
      <alignment horizontal="left" vertical="center" wrapText="1"/>
      <protection locked="0"/>
    </xf>
    <xf numFmtId="0" fontId="10" fillId="13" borderId="36" xfId="4" applyFont="1" applyFill="1" applyBorder="1" applyAlignment="1" applyProtection="1">
      <alignment horizontal="left" vertical="center" wrapText="1"/>
      <protection locked="0"/>
    </xf>
    <xf numFmtId="0" fontId="16" fillId="14" borderId="29" xfId="4" applyFont="1" applyFill="1" applyBorder="1" applyAlignment="1" applyProtection="1">
      <alignment horizontal="left" vertical="center" wrapText="1"/>
      <protection locked="0"/>
    </xf>
    <xf numFmtId="0" fontId="16" fillId="14" borderId="30" xfId="4" applyFont="1" applyFill="1" applyBorder="1" applyAlignment="1" applyProtection="1">
      <alignment horizontal="left" vertical="center" wrapText="1"/>
      <protection locked="0"/>
    </xf>
    <xf numFmtId="0" fontId="16" fillId="14" borderId="35" xfId="4" applyFont="1" applyFill="1" applyBorder="1" applyAlignment="1" applyProtection="1">
      <alignment horizontal="left" vertical="center" wrapText="1"/>
      <protection locked="0"/>
    </xf>
    <xf numFmtId="0" fontId="12" fillId="8" borderId="51" xfId="4" applyFont="1" applyFill="1" applyBorder="1" applyAlignment="1" applyProtection="1">
      <alignment horizontal="center" vertical="center" wrapText="1"/>
      <protection locked="0"/>
    </xf>
    <xf numFmtId="0" fontId="12" fillId="8" borderId="22" xfId="4" applyFont="1" applyFill="1" applyBorder="1" applyAlignment="1" applyProtection="1">
      <alignment horizontal="center" vertical="center" wrapText="1"/>
      <protection locked="0"/>
    </xf>
    <xf numFmtId="0" fontId="12" fillId="8" borderId="23" xfId="4" applyFont="1" applyFill="1" applyBorder="1" applyAlignment="1" applyProtection="1">
      <alignment horizontal="center" vertical="center" wrapText="1"/>
      <protection locked="0"/>
    </xf>
    <xf numFmtId="0" fontId="14" fillId="6" borderId="29" xfId="4" applyFont="1" applyFill="1" applyBorder="1" applyAlignment="1" applyProtection="1">
      <alignment horizontal="center" vertical="center" wrapText="1"/>
      <protection locked="0"/>
    </xf>
    <xf numFmtId="0" fontId="14" fillId="6" borderId="30" xfId="4" applyFont="1" applyFill="1" applyBorder="1" applyAlignment="1" applyProtection="1">
      <alignment horizontal="center" vertical="center" wrapText="1"/>
      <protection locked="0"/>
    </xf>
    <xf numFmtId="0" fontId="14" fillId="6" borderId="35" xfId="4" applyFont="1" applyFill="1" applyBorder="1" applyAlignment="1" applyProtection="1">
      <alignment horizontal="center" vertical="center" wrapText="1"/>
      <protection locked="0"/>
    </xf>
    <xf numFmtId="0" fontId="9" fillId="15" borderId="13" xfId="4" applyFont="1" applyFill="1" applyBorder="1" applyAlignment="1" applyProtection="1">
      <alignment horizontal="center" vertical="center" wrapText="1"/>
      <protection locked="0"/>
    </xf>
    <xf numFmtId="0" fontId="15" fillId="15" borderId="13" xfId="4" applyFont="1" applyFill="1" applyBorder="1" applyAlignment="1" applyProtection="1">
      <alignment horizontal="center" vertical="center" wrapText="1"/>
      <protection locked="0"/>
    </xf>
    <xf numFmtId="0" fontId="9" fillId="15" borderId="1" xfId="4" applyFont="1" applyFill="1" applyBorder="1" applyAlignment="1" applyProtection="1">
      <alignment horizontal="center" vertical="center" wrapText="1"/>
      <protection locked="0"/>
    </xf>
    <xf numFmtId="0" fontId="15" fillId="15" borderId="1" xfId="4" applyFont="1" applyFill="1" applyBorder="1" applyAlignment="1" applyProtection="1">
      <alignment horizontal="center" vertical="center" wrapText="1"/>
      <protection locked="0"/>
    </xf>
    <xf numFmtId="0" fontId="9" fillId="15" borderId="3" xfId="4" applyFont="1" applyFill="1" applyBorder="1" applyAlignment="1" applyProtection="1">
      <alignment horizontal="center" vertical="center" wrapText="1"/>
      <protection locked="0"/>
    </xf>
    <xf numFmtId="0" fontId="9" fillId="15" borderId="20" xfId="4" applyFont="1" applyFill="1" applyBorder="1" applyAlignment="1" applyProtection="1">
      <alignment horizontal="center" vertical="center" wrapText="1"/>
      <protection locked="0"/>
    </xf>
    <xf numFmtId="0" fontId="9" fillId="15" borderId="16" xfId="4" applyFont="1" applyFill="1" applyBorder="1" applyAlignment="1" applyProtection="1">
      <alignment horizontal="center" vertical="center" wrapText="1"/>
      <protection locked="0"/>
    </xf>
    <xf numFmtId="0" fontId="2" fillId="12" borderId="96" xfId="0" applyFont="1" applyFill="1" applyBorder="1" applyAlignment="1">
      <alignment horizontal="left" vertical="center"/>
    </xf>
    <xf numFmtId="0" fontId="2" fillId="13" borderId="97" xfId="4" applyFont="1" applyFill="1" applyBorder="1" applyAlignment="1">
      <alignment horizontal="left" vertical="center" wrapText="1"/>
    </xf>
    <xf numFmtId="0" fontId="2" fillId="13" borderId="98" xfId="4" applyFont="1" applyFill="1" applyBorder="1" applyAlignment="1">
      <alignment horizontal="left" vertical="center" wrapText="1"/>
    </xf>
    <xf numFmtId="0" fontId="2" fillId="13" borderId="99" xfId="4" applyFont="1" applyFill="1" applyBorder="1" applyAlignment="1">
      <alignment horizontal="left" vertical="center" wrapText="1"/>
    </xf>
    <xf numFmtId="0" fontId="18" fillId="14" borderId="97" xfId="4" applyFont="1" applyFill="1" applyBorder="1" applyAlignment="1">
      <alignment horizontal="left" vertical="center" wrapText="1"/>
    </xf>
    <xf numFmtId="0" fontId="18" fillId="14" borderId="98" xfId="4" applyFont="1" applyFill="1" applyBorder="1" applyAlignment="1">
      <alignment horizontal="left" vertical="center" wrapText="1"/>
    </xf>
    <xf numFmtId="0" fontId="18" fillId="14" borderId="99" xfId="4" applyFont="1" applyFill="1" applyBorder="1" applyAlignment="1">
      <alignment horizontal="left" vertical="center" wrapText="1"/>
    </xf>
    <xf numFmtId="0" fontId="7" fillId="2" borderId="5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8" fillId="6" borderId="53" xfId="4" applyFont="1" applyFill="1" applyBorder="1" applyAlignment="1">
      <alignment horizontal="center" vertical="center" wrapText="1"/>
    </xf>
    <xf numFmtId="0" fontId="18" fillId="6" borderId="100" xfId="4" applyFont="1" applyFill="1" applyBorder="1" applyAlignment="1">
      <alignment horizontal="center" vertical="center" wrapText="1"/>
    </xf>
    <xf numFmtId="0" fontId="18" fillId="6" borderId="101" xfId="4" applyFont="1" applyFill="1" applyBorder="1" applyAlignment="1">
      <alignment horizontal="center" vertical="center" wrapText="1"/>
    </xf>
    <xf numFmtId="0" fontId="2" fillId="13" borderId="53" xfId="4" applyFont="1" applyFill="1" applyBorder="1" applyAlignment="1">
      <alignment horizontal="left" vertical="center" wrapText="1"/>
    </xf>
    <xf numFmtId="0" fontId="2" fillId="13" borderId="100" xfId="4" applyFont="1" applyFill="1" applyBorder="1" applyAlignment="1">
      <alignment horizontal="left" vertical="center" wrapText="1"/>
    </xf>
    <xf numFmtId="0" fontId="2" fillId="13" borderId="101" xfId="4" applyFont="1" applyFill="1" applyBorder="1" applyAlignment="1">
      <alignment horizontal="left" vertical="center" wrapText="1"/>
    </xf>
    <xf numFmtId="0" fontId="11" fillId="0" borderId="96" xfId="4" applyBorder="1" applyAlignment="1">
      <alignment horizontal="center" vertical="center" wrapText="1"/>
    </xf>
    <xf numFmtId="9" fontId="11" fillId="0" borderId="96" xfId="4" applyNumberFormat="1" applyBorder="1" applyAlignment="1">
      <alignment horizontal="center" vertical="center" wrapText="1"/>
    </xf>
    <xf numFmtId="1" fontId="11" fillId="0" borderId="96" xfId="4" applyNumberFormat="1" applyBorder="1" applyAlignment="1">
      <alignment horizontal="center" vertical="center" wrapText="1"/>
    </xf>
    <xf numFmtId="0" fontId="9" fillId="20" borderId="96" xfId="2" applyFont="1" applyFill="1" applyBorder="1" applyAlignment="1" applyProtection="1">
      <alignment horizontal="left" vertical="center" wrapText="1"/>
      <protection locked="0"/>
    </xf>
    <xf numFmtId="0" fontId="10" fillId="13" borderId="96" xfId="4" applyFont="1" applyFill="1" applyBorder="1" applyAlignment="1" applyProtection="1">
      <alignment horizontal="left" vertical="center" wrapText="1"/>
      <protection locked="0"/>
    </xf>
    <xf numFmtId="0" fontId="24" fillId="14" borderId="96" xfId="4" applyFont="1" applyFill="1" applyBorder="1" applyAlignment="1" applyProtection="1">
      <alignment horizontal="center" vertical="center" wrapText="1"/>
      <protection locked="0"/>
    </xf>
    <xf numFmtId="0" fontId="23" fillId="2" borderId="97" xfId="2" applyFont="1" applyFill="1" applyBorder="1" applyAlignment="1" applyProtection="1">
      <alignment horizontal="left" vertical="center" wrapText="1"/>
      <protection locked="0"/>
    </xf>
    <xf numFmtId="0" fontId="23" fillId="2" borderId="98" xfId="2" applyFont="1" applyFill="1" applyBorder="1" applyAlignment="1" applyProtection="1">
      <alignment horizontal="left" vertical="center" wrapText="1"/>
      <protection locked="0"/>
    </xf>
    <xf numFmtId="0" fontId="23" fillId="2" borderId="99" xfId="2" applyFont="1" applyFill="1" applyBorder="1" applyAlignment="1" applyProtection="1">
      <alignment horizontal="left" vertical="center" wrapText="1"/>
      <protection locked="0"/>
    </xf>
    <xf numFmtId="0" fontId="10" fillId="13" borderId="96" xfId="4" applyFont="1" applyFill="1" applyBorder="1" applyAlignment="1" applyProtection="1">
      <alignment vertical="center" wrapText="1"/>
      <protection locked="0"/>
    </xf>
    <xf numFmtId="0" fontId="10" fillId="0" borderId="96" xfId="4" applyFont="1" applyBorder="1" applyAlignment="1" applyProtection="1">
      <alignment horizontal="left" vertical="center" wrapText="1"/>
      <protection locked="0"/>
    </xf>
    <xf numFmtId="0" fontId="9" fillId="20" borderId="96" xfId="4" applyFont="1" applyFill="1" applyBorder="1" applyAlignment="1" applyProtection="1">
      <alignment horizontal="center" vertical="center" wrapText="1"/>
      <protection locked="0"/>
    </xf>
    <xf numFmtId="1" fontId="10" fillId="0" borderId="96" xfId="4" applyNumberFormat="1" applyFont="1" applyBorder="1" applyAlignment="1" applyProtection="1">
      <alignment horizontal="center" vertical="center" wrapText="1"/>
      <protection locked="0"/>
    </xf>
    <xf numFmtId="0" fontId="10" fillId="0" borderId="96" xfId="4" applyFont="1" applyBorder="1" applyAlignment="1" applyProtection="1">
      <alignment horizontal="center" vertical="center" wrapText="1"/>
      <protection locked="0"/>
    </xf>
    <xf numFmtId="0" fontId="9" fillId="20" borderId="97" xfId="2" applyFont="1" applyFill="1" applyBorder="1" applyAlignment="1" applyProtection="1">
      <alignment horizontal="left" vertical="center" wrapText="1"/>
      <protection locked="0"/>
    </xf>
    <xf numFmtId="0" fontId="9" fillId="20" borderId="98" xfId="2" applyFont="1" applyFill="1" applyBorder="1" applyAlignment="1" applyProtection="1">
      <alignment horizontal="left" vertical="center" wrapText="1"/>
      <protection locked="0"/>
    </xf>
    <xf numFmtId="0" fontId="9" fillId="20" borderId="99" xfId="2" applyFont="1" applyFill="1" applyBorder="1" applyAlignment="1" applyProtection="1">
      <alignment horizontal="left" vertical="center" wrapText="1"/>
      <protection locked="0"/>
    </xf>
    <xf numFmtId="9" fontId="10" fillId="0" borderId="97" xfId="4" applyNumberFormat="1" applyFont="1" applyBorder="1" applyAlignment="1" applyProtection="1">
      <alignment horizontal="left" vertical="center" wrapText="1"/>
      <protection locked="0"/>
    </xf>
    <xf numFmtId="0" fontId="10" fillId="0" borderId="99" xfId="4" applyFont="1" applyBorder="1" applyAlignment="1" applyProtection="1">
      <alignment horizontal="left" vertical="center" wrapText="1"/>
      <protection locked="0"/>
    </xf>
    <xf numFmtId="0" fontId="14" fillId="14" borderId="96" xfId="4" applyFont="1" applyFill="1" applyBorder="1" applyAlignment="1" applyProtection="1">
      <alignment vertical="center" wrapText="1"/>
      <protection locked="0"/>
    </xf>
    <xf numFmtId="9" fontId="10" fillId="0" borderId="96" xfId="4" applyNumberFormat="1" applyFont="1" applyBorder="1" applyAlignment="1" applyProtection="1">
      <alignment horizontal="left" vertical="center" wrapText="1"/>
      <protection locked="0"/>
    </xf>
    <xf numFmtId="0" fontId="10" fillId="0" borderId="97" xfId="4" applyFont="1" applyBorder="1" applyAlignment="1" applyProtection="1">
      <alignment horizontal="left" vertical="center" wrapText="1"/>
      <protection locked="0"/>
    </xf>
    <xf numFmtId="9" fontId="10" fillId="0" borderId="64" xfId="4" applyNumberFormat="1" applyFont="1" applyBorder="1" applyAlignment="1" applyProtection="1">
      <alignment horizontal="center" vertical="center" wrapText="1"/>
      <protection locked="0"/>
    </xf>
    <xf numFmtId="9" fontId="10" fillId="0" borderId="102" xfId="4" applyNumberFormat="1" applyFont="1" applyBorder="1" applyAlignment="1" applyProtection="1">
      <alignment horizontal="center" vertical="center" wrapText="1"/>
      <protection locked="0"/>
    </xf>
    <xf numFmtId="0" fontId="12" fillId="8" borderId="96" xfId="4" applyFont="1" applyFill="1" applyBorder="1" applyAlignment="1" applyProtection="1">
      <alignment horizontal="center" vertical="center" wrapText="1"/>
      <protection locked="0"/>
    </xf>
    <xf numFmtId="0" fontId="14" fillId="6" borderId="96" xfId="4" applyFont="1" applyFill="1" applyBorder="1" applyAlignment="1" applyProtection="1">
      <alignment horizontal="center" vertical="center" wrapText="1"/>
      <protection locked="0"/>
    </xf>
    <xf numFmtId="0" fontId="15" fillId="15" borderId="96" xfId="4" applyFont="1" applyFill="1" applyBorder="1" applyAlignment="1" applyProtection="1">
      <alignment horizontal="center" vertical="center" wrapText="1"/>
      <protection locked="0"/>
    </xf>
    <xf numFmtId="0" fontId="16" fillId="14" borderId="96" xfId="4" applyFont="1" applyFill="1" applyBorder="1" applyAlignment="1" applyProtection="1">
      <alignment horizontal="left" vertical="center" wrapText="1"/>
      <protection locked="0"/>
    </xf>
    <xf numFmtId="9" fontId="10" fillId="0" borderId="61" xfId="4" applyNumberFormat="1" applyFont="1" applyBorder="1" applyAlignment="1" applyProtection="1">
      <alignment horizontal="center" vertical="center" wrapText="1"/>
      <protection locked="0"/>
    </xf>
    <xf numFmtId="9" fontId="10" fillId="0" borderId="63" xfId="4" applyNumberFormat="1" applyFont="1" applyBorder="1" applyAlignment="1" applyProtection="1">
      <alignment horizontal="center" vertical="center" wrapText="1"/>
      <protection locked="0"/>
    </xf>
    <xf numFmtId="9" fontId="10" fillId="0" borderId="33" xfId="4" applyNumberFormat="1" applyFont="1" applyBorder="1" applyAlignment="1" applyProtection="1">
      <alignment horizontal="center" vertical="center" wrapText="1"/>
      <protection locked="0"/>
    </xf>
    <xf numFmtId="9" fontId="10" fillId="0" borderId="34" xfId="4" applyNumberFormat="1" applyFont="1" applyBorder="1" applyAlignment="1" applyProtection="1">
      <alignment horizontal="center" vertical="center" wrapText="1"/>
      <protection locked="0"/>
    </xf>
    <xf numFmtId="0" fontId="7" fillId="24" borderId="112" xfId="2" applyFont="1" applyFill="1" applyBorder="1" applyAlignment="1">
      <alignment horizontal="center" vertical="center" wrapText="1"/>
    </xf>
    <xf numFmtId="0" fontId="7" fillId="27" borderId="112" xfId="2" applyFont="1" applyFill="1" applyBorder="1" applyAlignment="1">
      <alignment horizontal="center" vertical="center" wrapText="1"/>
    </xf>
    <xf numFmtId="0" fontId="10" fillId="13" borderId="72" xfId="2" applyFont="1" applyFill="1" applyBorder="1" applyAlignment="1">
      <alignment horizontal="left" vertical="center"/>
    </xf>
    <xf numFmtId="0" fontId="10" fillId="13" borderId="73" xfId="2" applyFont="1" applyFill="1" applyBorder="1" applyAlignment="1">
      <alignment horizontal="left" vertical="center"/>
    </xf>
    <xf numFmtId="0" fontId="10" fillId="13" borderId="74" xfId="2" applyFont="1" applyFill="1" applyBorder="1" applyAlignment="1">
      <alignment horizontal="left" vertical="center"/>
    </xf>
    <xf numFmtId="0" fontId="5" fillId="0" borderId="68" xfId="2" applyFont="1" applyBorder="1" applyAlignment="1">
      <alignment horizontal="left" vertical="center" wrapText="1"/>
    </xf>
    <xf numFmtId="0" fontId="5" fillId="0" borderId="66" xfId="2" applyFont="1" applyBorder="1" applyAlignment="1">
      <alignment horizontal="left" vertical="center" wrapText="1"/>
    </xf>
    <xf numFmtId="0" fontId="5" fillId="0" borderId="83" xfId="2" applyFont="1" applyBorder="1" applyAlignment="1">
      <alignment horizontal="left" vertical="center" wrapText="1"/>
    </xf>
    <xf numFmtId="0" fontId="5" fillId="17" borderId="68" xfId="2" applyFont="1" applyFill="1" applyBorder="1" applyAlignment="1">
      <alignment horizontal="left" vertical="center" wrapText="1"/>
    </xf>
    <xf numFmtId="0" fontId="5" fillId="17" borderId="66" xfId="2" applyFont="1" applyFill="1" applyBorder="1" applyAlignment="1">
      <alignment horizontal="left" vertical="center" wrapText="1"/>
    </xf>
    <xf numFmtId="9" fontId="5" fillId="17" borderId="93" xfId="3" applyFont="1" applyFill="1" applyBorder="1" applyAlignment="1" applyProtection="1">
      <alignment horizontal="center" vertical="center"/>
    </xf>
    <xf numFmtId="9" fontId="5" fillId="17" borderId="94" xfId="3" applyFont="1" applyFill="1" applyBorder="1" applyAlignment="1" applyProtection="1">
      <alignment horizontal="center" vertical="center"/>
    </xf>
    <xf numFmtId="0" fontId="5" fillId="13" borderId="97" xfId="2" applyFont="1" applyFill="1" applyBorder="1" applyAlignment="1">
      <alignment horizontal="left" vertical="center"/>
    </xf>
    <xf numFmtId="0" fontId="5" fillId="13" borderId="98" xfId="2" applyFont="1" applyFill="1" applyBorder="1" applyAlignment="1">
      <alignment horizontal="left" vertical="center"/>
    </xf>
    <xf numFmtId="0" fontId="5" fillId="13" borderId="99" xfId="2" applyFont="1" applyFill="1" applyBorder="1" applyAlignment="1">
      <alignment horizontal="left" vertical="center"/>
    </xf>
    <xf numFmtId="0" fontId="16" fillId="14" borderId="51" xfId="2" applyFont="1" applyFill="1" applyBorder="1" applyAlignment="1">
      <alignment horizontal="left" vertical="center" wrapText="1"/>
    </xf>
    <xf numFmtId="0" fontId="16" fillId="14" borderId="22" xfId="2" applyFont="1" applyFill="1" applyBorder="1" applyAlignment="1">
      <alignment horizontal="left" vertical="center" wrapText="1"/>
    </xf>
    <xf numFmtId="0" fontId="16" fillId="14" borderId="23" xfId="2" applyFont="1" applyFill="1" applyBorder="1" applyAlignment="1">
      <alignment horizontal="left" vertical="center" wrapText="1"/>
    </xf>
    <xf numFmtId="0" fontId="29" fillId="19" borderId="68" xfId="2" applyFont="1" applyFill="1" applyBorder="1" applyAlignment="1">
      <alignment horizontal="center" vertical="center" wrapText="1"/>
    </xf>
    <xf numFmtId="0" fontId="29" fillId="19" borderId="66" xfId="2" applyFont="1" applyFill="1" applyBorder="1" applyAlignment="1">
      <alignment horizontal="center" vertical="center" wrapText="1"/>
    </xf>
    <xf numFmtId="9" fontId="5" fillId="17" borderId="81" xfId="3" applyFont="1" applyFill="1" applyBorder="1" applyAlignment="1" applyProtection="1">
      <alignment horizontal="center" vertical="center"/>
    </xf>
    <xf numFmtId="9" fontId="5" fillId="17" borderId="79" xfId="3" applyFont="1" applyFill="1" applyBorder="1" applyAlignment="1" applyProtection="1">
      <alignment horizontal="center" vertical="center"/>
    </xf>
    <xf numFmtId="0" fontId="19" fillId="0" borderId="68" xfId="2" applyFont="1" applyBorder="1" applyAlignment="1">
      <alignment horizontal="left" vertical="center" wrapText="1"/>
    </xf>
    <xf numFmtId="0" fontId="19" fillId="0" borderId="66" xfId="2" applyFont="1" applyBorder="1" applyAlignment="1">
      <alignment horizontal="left" vertical="center" wrapText="1"/>
    </xf>
    <xf numFmtId="0" fontId="9" fillId="2" borderId="72" xfId="2" applyFont="1" applyFill="1" applyBorder="1" applyAlignment="1">
      <alignment horizontal="left" vertical="center"/>
    </xf>
    <xf numFmtId="0" fontId="9" fillId="2" borderId="73" xfId="2" applyFont="1" applyFill="1" applyBorder="1" applyAlignment="1">
      <alignment horizontal="left" vertical="center"/>
    </xf>
    <xf numFmtId="0" fontId="9" fillId="2" borderId="74" xfId="2" applyFont="1" applyFill="1" applyBorder="1" applyAlignment="1">
      <alignment horizontal="left" vertical="center"/>
    </xf>
    <xf numFmtId="0" fontId="5" fillId="18" borderId="97" xfId="2" applyFont="1" applyFill="1" applyBorder="1" applyAlignment="1">
      <alignment horizontal="left" vertical="center" wrapText="1"/>
    </xf>
    <xf numFmtId="0" fontId="5" fillId="18" borderId="98" xfId="2" applyFont="1" applyFill="1" applyBorder="1" applyAlignment="1">
      <alignment horizontal="left" vertical="center" wrapText="1"/>
    </xf>
    <xf numFmtId="0" fontId="5" fillId="18" borderId="99" xfId="2" applyFont="1" applyFill="1" applyBorder="1" applyAlignment="1">
      <alignment horizontal="left" vertical="center" wrapText="1"/>
    </xf>
    <xf numFmtId="0" fontId="19" fillId="18" borderId="68" xfId="2" applyFont="1" applyFill="1" applyBorder="1" applyAlignment="1">
      <alignment horizontal="left" vertical="center" wrapText="1"/>
    </xf>
    <xf numFmtId="0" fontId="19" fillId="18" borderId="66" xfId="2" applyFont="1" applyFill="1" applyBorder="1" applyAlignment="1">
      <alignment horizontal="left" vertical="center" wrapText="1"/>
    </xf>
    <xf numFmtId="0" fontId="10" fillId="19" borderId="80" xfId="2" applyFont="1" applyFill="1" applyBorder="1" applyAlignment="1">
      <alignment horizontal="left" vertical="center" wrapText="1"/>
    </xf>
    <xf numFmtId="0" fontId="10" fillId="19" borderId="81" xfId="2" applyFont="1" applyFill="1" applyBorder="1" applyAlignment="1">
      <alignment horizontal="left" vertical="center" wrapText="1"/>
    </xf>
    <xf numFmtId="0" fontId="10" fillId="19" borderId="79" xfId="2" applyFont="1" applyFill="1" applyBorder="1" applyAlignment="1">
      <alignment horizontal="left" vertical="center" wrapText="1"/>
    </xf>
    <xf numFmtId="0" fontId="19" fillId="13" borderId="72" xfId="2" applyFont="1" applyFill="1" applyBorder="1" applyAlignment="1">
      <alignment horizontal="left" vertical="center" wrapText="1"/>
    </xf>
    <xf numFmtId="0" fontId="19" fillId="13" borderId="73" xfId="2" applyFont="1" applyFill="1" applyBorder="1" applyAlignment="1">
      <alignment horizontal="left" vertical="center" wrapText="1"/>
    </xf>
    <xf numFmtId="0" fontId="19" fillId="13" borderId="0" xfId="2" applyFont="1" applyFill="1" applyAlignment="1">
      <alignment horizontal="left" vertical="center" wrapText="1"/>
    </xf>
    <xf numFmtId="0" fontId="19" fillId="13" borderId="74" xfId="2" applyFont="1" applyFill="1" applyBorder="1" applyAlignment="1">
      <alignment horizontal="left" vertical="center" wrapText="1"/>
    </xf>
    <xf numFmtId="0" fontId="19" fillId="0" borderId="83" xfId="2" applyFont="1" applyBorder="1" applyAlignment="1">
      <alignment horizontal="left" vertical="center" wrapText="1"/>
    </xf>
    <xf numFmtId="0" fontId="19" fillId="17" borderId="72" xfId="2" applyFont="1" applyFill="1" applyBorder="1" applyAlignment="1">
      <alignment horizontal="left" vertical="center" wrapText="1"/>
    </xf>
    <xf numFmtId="0" fontId="19" fillId="17" borderId="73" xfId="2" applyFont="1" applyFill="1" applyBorder="1" applyAlignment="1">
      <alignment horizontal="left" vertical="center" wrapText="1"/>
    </xf>
    <xf numFmtId="9" fontId="19" fillId="17" borderId="0" xfId="3" applyFont="1" applyFill="1" applyAlignment="1" applyProtection="1">
      <alignment horizontal="center" vertical="center" wrapText="1"/>
    </xf>
    <xf numFmtId="9" fontId="19" fillId="17" borderId="42" xfId="3" applyFont="1" applyFill="1" applyBorder="1" applyAlignment="1" applyProtection="1">
      <alignment horizontal="center" vertical="center" wrapText="1"/>
    </xf>
    <xf numFmtId="0" fontId="19" fillId="13" borderId="41" xfId="2" applyFont="1" applyFill="1" applyBorder="1" applyAlignment="1">
      <alignment horizontal="left" vertical="center" wrapText="1"/>
    </xf>
    <xf numFmtId="0" fontId="16" fillId="14" borderId="41" xfId="2" applyFont="1" applyFill="1" applyBorder="1" applyAlignment="1">
      <alignment horizontal="left" vertical="center" wrapText="1"/>
    </xf>
    <xf numFmtId="0" fontId="16" fillId="14" borderId="0" xfId="2" applyFont="1" applyFill="1" applyAlignment="1">
      <alignment horizontal="left" vertical="center" wrapText="1"/>
    </xf>
    <xf numFmtId="0" fontId="16" fillId="14" borderId="47" xfId="2" applyFont="1" applyFill="1" applyBorder="1" applyAlignment="1">
      <alignment horizontal="left" vertical="center" wrapText="1"/>
    </xf>
    <xf numFmtId="0" fontId="5" fillId="0" borderId="72" xfId="2" applyFont="1" applyBorder="1" applyAlignment="1">
      <alignment horizontal="left" vertical="center" wrapText="1"/>
    </xf>
    <xf numFmtId="0" fontId="5" fillId="0" borderId="73" xfId="2" applyFont="1" applyBorder="1" applyAlignment="1">
      <alignment horizontal="left" vertical="center" wrapText="1"/>
    </xf>
    <xf numFmtId="0" fontId="5" fillId="0" borderId="65" xfId="2" applyFont="1" applyBorder="1" applyAlignment="1">
      <alignment horizontal="left" vertical="center" wrapText="1"/>
    </xf>
    <xf numFmtId="0" fontId="5" fillId="0" borderId="84" xfId="2" applyFont="1" applyBorder="1" applyAlignment="1">
      <alignment horizontal="left" vertical="center" wrapText="1"/>
    </xf>
    <xf numFmtId="0" fontId="5" fillId="0" borderId="85" xfId="2" applyFont="1" applyBorder="1" applyAlignment="1">
      <alignment horizontal="left" vertical="center" wrapText="1"/>
    </xf>
    <xf numFmtId="0" fontId="5" fillId="0" borderId="86" xfId="2" applyFont="1" applyBorder="1" applyAlignment="1">
      <alignment horizontal="left" vertical="center" wrapText="1"/>
    </xf>
    <xf numFmtId="0" fontId="16" fillId="14" borderId="97" xfId="2" applyFont="1" applyFill="1" applyBorder="1" applyAlignment="1">
      <alignment horizontal="left" vertical="center" wrapText="1"/>
    </xf>
    <xf numFmtId="0" fontId="16" fillId="14" borderId="98" xfId="2" applyFont="1" applyFill="1" applyBorder="1" applyAlignment="1">
      <alignment horizontal="left" vertical="center" wrapText="1"/>
    </xf>
    <xf numFmtId="0" fontId="16" fillId="14" borderId="99" xfId="2" applyFont="1" applyFill="1" applyBorder="1" applyAlignment="1">
      <alignment horizontal="left" vertical="center" wrapText="1"/>
    </xf>
    <xf numFmtId="0" fontId="5" fillId="0" borderId="92" xfId="2" applyFont="1" applyBorder="1" applyAlignment="1">
      <alignment horizontal="left" vertical="center" wrapText="1"/>
    </xf>
    <xf numFmtId="0" fontId="5" fillId="0" borderId="93" xfId="2" applyFont="1" applyBorder="1" applyAlignment="1">
      <alignment horizontal="left" vertical="center" wrapText="1"/>
    </xf>
    <xf numFmtId="0" fontId="5" fillId="0" borderId="94" xfId="2" applyFont="1" applyBorder="1" applyAlignment="1">
      <alignment horizontal="left" vertical="center" wrapText="1"/>
    </xf>
    <xf numFmtId="0" fontId="10" fillId="0" borderId="68" xfId="2" applyFont="1" applyBorder="1" applyAlignment="1">
      <alignment horizontal="left" vertical="center" wrapText="1"/>
    </xf>
    <xf numFmtId="0" fontId="10" fillId="0" borderId="66" xfId="2" applyFont="1" applyBorder="1" applyAlignment="1">
      <alignment horizontal="left" vertical="center" wrapText="1"/>
    </xf>
    <xf numFmtId="0" fontId="10" fillId="0" borderId="83" xfId="2" applyFont="1" applyBorder="1" applyAlignment="1">
      <alignment horizontal="left" vertical="center" wrapText="1"/>
    </xf>
    <xf numFmtId="0" fontId="26" fillId="22" borderId="97" xfId="0" applyFont="1" applyFill="1" applyBorder="1" applyAlignment="1">
      <alignment horizontal="center"/>
    </xf>
    <xf numFmtId="0" fontId="26" fillId="22" borderId="98" xfId="0" applyFont="1" applyFill="1" applyBorder="1" applyAlignment="1">
      <alignment horizontal="center"/>
    </xf>
    <xf numFmtId="0" fontId="26" fillId="22" borderId="99" xfId="0" applyFont="1" applyFill="1" applyBorder="1" applyAlignment="1">
      <alignment horizontal="center"/>
    </xf>
    <xf numFmtId="0" fontId="9" fillId="15" borderId="51" xfId="2" applyFont="1" applyFill="1" applyBorder="1" applyAlignment="1">
      <alignment horizontal="left" vertical="center" wrapText="1"/>
    </xf>
    <xf numFmtId="0" fontId="9" fillId="15" borderId="22" xfId="2" applyFont="1" applyFill="1" applyBorder="1" applyAlignment="1">
      <alignment horizontal="left" vertical="center" wrapText="1"/>
    </xf>
    <xf numFmtId="0" fontId="9" fillId="15" borderId="23" xfId="2" applyFont="1" applyFill="1" applyBorder="1" applyAlignment="1">
      <alignment horizontal="left" vertical="center" wrapText="1"/>
    </xf>
    <xf numFmtId="0" fontId="9" fillId="15" borderId="41" xfId="2" applyFont="1" applyFill="1" applyBorder="1" applyAlignment="1">
      <alignment horizontal="left" vertical="center" wrapText="1"/>
    </xf>
    <xf numFmtId="0" fontId="9" fillId="15" borderId="0" xfId="2" applyFont="1" applyFill="1" applyAlignment="1">
      <alignment horizontal="left" vertical="center" wrapText="1"/>
    </xf>
    <xf numFmtId="0" fontId="9" fillId="15" borderId="47" xfId="2" applyFont="1" applyFill="1" applyBorder="1" applyAlignment="1">
      <alignment horizontal="left" vertical="center" wrapText="1"/>
    </xf>
    <xf numFmtId="0" fontId="9" fillId="15" borderId="53" xfId="2" applyFont="1" applyFill="1" applyBorder="1" applyAlignment="1">
      <alignment horizontal="left" vertical="center" wrapText="1"/>
    </xf>
    <xf numFmtId="0" fontId="9" fillId="15" borderId="100" xfId="2" applyFont="1" applyFill="1" applyBorder="1" applyAlignment="1">
      <alignment horizontal="left" vertical="center" wrapText="1"/>
    </xf>
    <xf numFmtId="0" fontId="9" fillId="15" borderId="101" xfId="2" applyFont="1" applyFill="1" applyBorder="1" applyAlignment="1">
      <alignment horizontal="left" vertical="center" wrapText="1"/>
    </xf>
    <xf numFmtId="0" fontId="9" fillId="15" borderId="96" xfId="2" applyFont="1" applyFill="1" applyBorder="1" applyAlignment="1">
      <alignment horizontal="center" vertical="center" wrapText="1"/>
    </xf>
    <xf numFmtId="14" fontId="2" fillId="0" borderId="97" xfId="0" applyNumberFormat="1" applyFont="1" applyBorder="1" applyAlignment="1">
      <alignment horizontal="left" vertical="center" indent="1"/>
    </xf>
    <xf numFmtId="14" fontId="2" fillId="0" borderId="99" xfId="0" applyNumberFormat="1" applyFont="1" applyBorder="1" applyAlignment="1">
      <alignment horizontal="left" vertical="center" indent="1"/>
    </xf>
    <xf numFmtId="49" fontId="2" fillId="0" borderId="97" xfId="0" applyNumberFormat="1" applyFont="1" applyBorder="1" applyAlignment="1">
      <alignment horizontal="left" vertical="center" indent="1"/>
    </xf>
    <xf numFmtId="49" fontId="2" fillId="0" borderId="99" xfId="0" applyNumberFormat="1" applyFont="1" applyBorder="1" applyAlignment="1">
      <alignment horizontal="left" vertical="center" indent="1"/>
    </xf>
    <xf numFmtId="9" fontId="25" fillId="0" borderId="67" xfId="3" applyFont="1" applyBorder="1" applyAlignment="1" applyProtection="1">
      <alignment horizontal="center" vertical="center" wrapText="1"/>
    </xf>
    <xf numFmtId="9" fontId="25" fillId="0" borderId="43" xfId="3" applyFont="1" applyBorder="1" applyAlignment="1" applyProtection="1">
      <alignment horizontal="center" vertical="center" wrapText="1"/>
    </xf>
    <xf numFmtId="9" fontId="25" fillId="0" borderId="70" xfId="3" applyFont="1" applyBorder="1" applyAlignment="1" applyProtection="1">
      <alignment horizontal="center" vertical="center" wrapText="1"/>
    </xf>
    <xf numFmtId="0" fontId="19" fillId="0" borderId="69" xfId="2" applyFont="1" applyBorder="1" applyAlignment="1">
      <alignment horizontal="left" vertical="center" wrapText="1"/>
    </xf>
    <xf numFmtId="9" fontId="8" fillId="21" borderId="75" xfId="3" applyFont="1" applyFill="1" applyBorder="1" applyAlignment="1" applyProtection="1">
      <alignment horizontal="right" vertical="center" wrapText="1"/>
    </xf>
    <xf numFmtId="9" fontId="8" fillId="21" borderId="76" xfId="3" applyFont="1" applyFill="1" applyBorder="1" applyAlignment="1" applyProtection="1">
      <alignment horizontal="right" vertical="center" wrapText="1"/>
    </xf>
    <xf numFmtId="9" fontId="8" fillId="21" borderId="77" xfId="3" applyFont="1" applyFill="1" applyBorder="1" applyAlignment="1" applyProtection="1">
      <alignment horizontal="right" vertical="center" wrapText="1"/>
    </xf>
    <xf numFmtId="9" fontId="19" fillId="18" borderId="93" xfId="3" applyFont="1" applyFill="1" applyBorder="1" applyAlignment="1" applyProtection="1">
      <alignment horizontal="center" vertical="center" wrapText="1"/>
    </xf>
    <xf numFmtId="9" fontId="19" fillId="18" borderId="94" xfId="3" applyFont="1" applyFill="1" applyBorder="1" applyAlignment="1" applyProtection="1">
      <alignment horizontal="center" vertical="center" wrapText="1"/>
    </xf>
    <xf numFmtId="0" fontId="19" fillId="17" borderId="92" xfId="2" applyFont="1" applyFill="1" applyBorder="1" applyAlignment="1">
      <alignment horizontal="left" vertical="center" wrapText="1"/>
    </xf>
    <xf numFmtId="0" fontId="19" fillId="17" borderId="93" xfId="2" applyFont="1" applyFill="1" applyBorder="1" applyAlignment="1">
      <alignment horizontal="left" vertical="center" wrapText="1"/>
    </xf>
    <xf numFmtId="9" fontId="19" fillId="17" borderId="93" xfId="3" applyFont="1" applyFill="1" applyBorder="1" applyAlignment="1" applyProtection="1">
      <alignment horizontal="center" vertical="center" wrapText="1"/>
    </xf>
    <xf numFmtId="9" fontId="19" fillId="17" borderId="94" xfId="3" applyFont="1" applyFill="1" applyBorder="1" applyAlignment="1" applyProtection="1">
      <alignment horizontal="center" vertical="center" wrapText="1"/>
    </xf>
    <xf numFmtId="0" fontId="19" fillId="0" borderId="78" xfId="2" applyFont="1" applyBorder="1" applyAlignment="1">
      <alignment horizontal="left" vertical="center" wrapText="1"/>
    </xf>
    <xf numFmtId="0" fontId="20" fillId="14" borderId="96" xfId="2" applyFont="1" applyFill="1" applyBorder="1" applyAlignment="1">
      <alignment horizontal="left" vertical="center" wrapText="1"/>
    </xf>
    <xf numFmtId="0" fontId="19" fillId="0" borderId="97" xfId="2" applyFont="1" applyBorder="1" applyAlignment="1">
      <alignment horizontal="left" vertical="center" wrapText="1"/>
    </xf>
    <xf numFmtId="0" fontId="19" fillId="0" borderId="98" xfId="2" applyFont="1" applyBorder="1" applyAlignment="1">
      <alignment horizontal="left" vertical="center" wrapText="1"/>
    </xf>
    <xf numFmtId="0" fontId="19" fillId="0" borderId="99" xfId="2" applyFont="1" applyBorder="1" applyAlignment="1">
      <alignment horizontal="left" vertical="center" wrapText="1"/>
    </xf>
    <xf numFmtId="0" fontId="7" fillId="15" borderId="96" xfId="2" applyFont="1" applyFill="1" applyBorder="1" applyAlignment="1">
      <alignment horizontal="left" vertical="center" wrapText="1"/>
    </xf>
    <xf numFmtId="0" fontId="7" fillId="15" borderId="96" xfId="2" applyFont="1" applyFill="1" applyBorder="1" applyAlignment="1">
      <alignment horizontal="center" vertical="center" wrapText="1"/>
    </xf>
    <xf numFmtId="0" fontId="2" fillId="0" borderId="96" xfId="0" applyFont="1" applyBorder="1" applyAlignment="1">
      <alignment horizontal="left" indent="1"/>
    </xf>
    <xf numFmtId="0" fontId="16" fillId="14" borderId="80" xfId="2" applyFont="1" applyFill="1" applyBorder="1" applyAlignment="1">
      <alignment horizontal="left" vertical="center" wrapText="1"/>
    </xf>
    <xf numFmtId="0" fontId="16" fillId="14" borderId="81" xfId="2" applyFont="1" applyFill="1" applyBorder="1" applyAlignment="1">
      <alignment horizontal="left" vertical="center" wrapText="1"/>
    </xf>
    <xf numFmtId="0" fontId="16" fillId="14" borderId="79" xfId="2" applyFont="1" applyFill="1" applyBorder="1" applyAlignment="1">
      <alignment horizontal="left" vertical="center" wrapText="1"/>
    </xf>
    <xf numFmtId="0" fontId="19" fillId="13" borderId="97" xfId="2" applyFont="1" applyFill="1" applyBorder="1" applyAlignment="1">
      <alignment horizontal="left" vertical="center" wrapText="1"/>
    </xf>
    <xf numFmtId="0" fontId="19" fillId="13" borderId="98" xfId="2" applyFont="1" applyFill="1" applyBorder="1" applyAlignment="1">
      <alignment horizontal="left" vertical="center" wrapText="1"/>
    </xf>
    <xf numFmtId="0" fontId="19" fillId="13" borderId="99" xfId="2" applyFont="1" applyFill="1" applyBorder="1" applyAlignment="1">
      <alignment horizontal="left" vertical="center" wrapText="1"/>
    </xf>
    <xf numFmtId="0" fontId="19" fillId="19" borderId="78" xfId="2" applyFont="1" applyFill="1" applyBorder="1" applyAlignment="1">
      <alignment horizontal="left" vertical="center" wrapText="1"/>
    </xf>
    <xf numFmtId="0" fontId="7" fillId="2" borderId="72" xfId="2" applyFont="1" applyFill="1" applyBorder="1" applyAlignment="1">
      <alignment horizontal="left" vertical="center" wrapText="1"/>
    </xf>
    <xf numFmtId="0" fontId="7" fillId="2" borderId="73" xfId="2" applyFont="1" applyFill="1" applyBorder="1" applyAlignment="1">
      <alignment horizontal="left" vertical="center" wrapText="1"/>
    </xf>
    <xf numFmtId="0" fontId="7" fillId="2" borderId="74" xfId="2" applyFont="1" applyFill="1" applyBorder="1" applyAlignment="1">
      <alignment horizontal="left" vertical="center" wrapText="1"/>
    </xf>
    <xf numFmtId="0" fontId="5" fillId="4" borderId="68" xfId="2" applyFont="1" applyFill="1" applyBorder="1" applyAlignment="1">
      <alignment horizontal="left" vertical="center" wrapText="1"/>
    </xf>
    <xf numFmtId="0" fontId="5" fillId="4" borderId="66" xfId="2" applyFont="1" applyFill="1" applyBorder="1" applyAlignment="1">
      <alignment horizontal="left" vertical="center" wrapText="1"/>
    </xf>
    <xf numFmtId="0" fontId="5" fillId="4" borderId="83" xfId="2" applyFont="1" applyFill="1" applyBorder="1" applyAlignment="1">
      <alignment horizontal="left" vertical="center" wrapText="1"/>
    </xf>
    <xf numFmtId="9" fontId="19" fillId="17" borderId="81" xfId="3" applyFont="1" applyFill="1" applyBorder="1" applyAlignment="1" applyProtection="1">
      <alignment horizontal="center" vertical="center" wrapText="1"/>
    </xf>
    <xf numFmtId="9" fontId="19" fillId="17" borderId="79" xfId="3" applyFont="1" applyFill="1" applyBorder="1" applyAlignment="1" applyProtection="1">
      <alignment horizontal="center" vertical="center" wrapText="1"/>
    </xf>
    <xf numFmtId="0" fontId="19" fillId="18" borderId="78" xfId="2" applyFont="1" applyFill="1" applyBorder="1" applyAlignment="1">
      <alignment horizontal="left" vertical="center" wrapText="1"/>
    </xf>
    <xf numFmtId="0" fontId="19" fillId="17" borderId="68" xfId="2" applyFont="1" applyFill="1" applyBorder="1" applyAlignment="1">
      <alignment horizontal="left" vertical="center" wrapText="1"/>
    </xf>
    <xf numFmtId="0" fontId="19" fillId="17" borderId="66" xfId="2" applyFont="1" applyFill="1" applyBorder="1" applyAlignment="1">
      <alignment horizontal="left" vertical="center" wrapText="1"/>
    </xf>
    <xf numFmtId="0" fontId="7" fillId="2" borderId="41" xfId="0" applyFont="1" applyFill="1" applyBorder="1" applyAlignment="1">
      <alignment horizontal="center" vertical="center"/>
    </xf>
    <xf numFmtId="0" fontId="7" fillId="2" borderId="0" xfId="0" applyFont="1" applyFill="1" applyAlignment="1">
      <alignment horizontal="center" vertical="center"/>
    </xf>
    <xf numFmtId="0" fontId="2" fillId="6" borderId="80" xfId="0" applyFont="1" applyFill="1" applyBorder="1" applyAlignment="1">
      <alignment horizontal="center" vertical="center"/>
    </xf>
    <xf numFmtId="0" fontId="2" fillId="6" borderId="81" xfId="0" applyFont="1" applyFill="1" applyBorder="1" applyAlignment="1">
      <alignment horizontal="center" vertical="center"/>
    </xf>
    <xf numFmtId="0" fontId="2" fillId="17" borderId="53" xfId="0" applyFont="1" applyFill="1" applyBorder="1" applyAlignment="1">
      <alignment horizontal="center" vertical="center"/>
    </xf>
    <xf numFmtId="0" fontId="2" fillId="17" borderId="100" xfId="0" applyFont="1" applyFill="1" applyBorder="1" applyAlignment="1">
      <alignment horizontal="center" vertical="center"/>
    </xf>
    <xf numFmtId="0" fontId="9" fillId="20" borderId="78" xfId="0" applyFont="1" applyFill="1" applyBorder="1" applyAlignment="1">
      <alignment horizontal="left" vertical="center" wrapText="1"/>
    </xf>
    <xf numFmtId="0" fontId="9" fillId="20" borderId="107" xfId="0" applyFont="1" applyFill="1" applyBorder="1" applyAlignment="1">
      <alignment horizontal="left" vertical="center" wrapText="1"/>
    </xf>
    <xf numFmtId="0" fontId="9" fillId="20" borderId="106" xfId="0" applyFont="1" applyFill="1" applyBorder="1" applyAlignment="1">
      <alignment horizontal="left" vertical="center" wrapText="1"/>
    </xf>
    <xf numFmtId="0" fontId="9" fillId="20" borderId="52" xfId="0" applyFont="1" applyFill="1" applyBorder="1" applyAlignment="1">
      <alignment horizontal="left" vertical="center" wrapText="1"/>
    </xf>
    <xf numFmtId="0" fontId="9" fillId="20" borderId="50" xfId="0" applyFont="1" applyFill="1" applyBorder="1" applyAlignment="1">
      <alignment horizontal="left" vertical="center" wrapText="1"/>
    </xf>
    <xf numFmtId="0" fontId="35" fillId="20" borderId="0" xfId="0" applyFont="1" applyFill="1" applyAlignment="1">
      <alignment horizontal="center" vertical="center"/>
    </xf>
    <xf numFmtId="0" fontId="34" fillId="12" borderId="48" xfId="0" applyFont="1" applyFill="1" applyBorder="1" applyAlignment="1">
      <alignment horizontal="left" vertical="center" wrapText="1"/>
    </xf>
    <xf numFmtId="0" fontId="34" fillId="12" borderId="22" xfId="0" applyFont="1" applyFill="1" applyBorder="1" applyAlignment="1">
      <alignment horizontal="left" vertical="center" wrapText="1"/>
    </xf>
    <xf numFmtId="0" fontId="34" fillId="12" borderId="49" xfId="0" applyFont="1" applyFill="1" applyBorder="1" applyAlignment="1">
      <alignment horizontal="left" vertical="center" wrapText="1"/>
    </xf>
    <xf numFmtId="0" fontId="34" fillId="12" borderId="0" xfId="0" applyFont="1" applyFill="1" applyAlignment="1">
      <alignment horizontal="left" vertical="center" wrapText="1"/>
    </xf>
    <xf numFmtId="0" fontId="3" fillId="12" borderId="106" xfId="0" applyFont="1" applyFill="1" applyBorder="1" applyAlignment="1">
      <alignment horizontal="left" wrapText="1"/>
    </xf>
    <xf numFmtId="0" fontId="3" fillId="12" borderId="78" xfId="0" applyFont="1" applyFill="1" applyBorder="1" applyAlignment="1">
      <alignment horizontal="left" wrapText="1"/>
    </xf>
    <xf numFmtId="0" fontId="3" fillId="12" borderId="107" xfId="0" applyFont="1" applyFill="1" applyBorder="1" applyAlignment="1">
      <alignment horizontal="left" wrapText="1"/>
    </xf>
    <xf numFmtId="0" fontId="3" fillId="12" borderId="106" xfId="0" applyFont="1" applyFill="1" applyBorder="1" applyAlignment="1">
      <alignment horizontal="left" vertical="center" wrapText="1"/>
    </xf>
    <xf numFmtId="0" fontId="3" fillId="12" borderId="78" xfId="0" applyFont="1" applyFill="1" applyBorder="1" applyAlignment="1">
      <alignment horizontal="left" vertical="center" wrapText="1"/>
    </xf>
    <xf numFmtId="0" fontId="3" fillId="12" borderId="107" xfId="0" applyFont="1" applyFill="1" applyBorder="1" applyAlignment="1">
      <alignment horizontal="left" vertical="center" wrapText="1"/>
    </xf>
    <xf numFmtId="0" fontId="3" fillId="12" borderId="119" xfId="0" applyFont="1" applyFill="1" applyBorder="1" applyAlignment="1">
      <alignment horizontal="left" wrapText="1"/>
    </xf>
    <xf numFmtId="9" fontId="11" fillId="0" borderId="96" xfId="4" applyNumberFormat="1" applyFill="1" applyBorder="1" applyAlignment="1" applyProtection="1">
      <alignment horizontal="center" vertical="center" wrapText="1"/>
      <protection locked="0"/>
    </xf>
  </cellXfs>
  <cellStyles count="6">
    <cellStyle name="Hyperlink" xfId="5" builtinId="8"/>
    <cellStyle name="Normal" xfId="0" builtinId="0"/>
    <cellStyle name="Normal 2" xfId="2" xr:uid="{00000000-0005-0000-0000-000003000000}"/>
    <cellStyle name="Normal 3" xfId="4" xr:uid="{0CDB0493-B942-416B-984F-0AC7B096FCF7}"/>
    <cellStyle name="Percent" xfId="1" builtinId="5"/>
    <cellStyle name="Percent 2" xfId="3" xr:uid="{00000000-0005-0000-0000-000005000000}"/>
  </cellStyles>
  <dxfs count="112">
    <dxf>
      <fill>
        <patternFill>
          <bgColor rgb="FFCAFFCA"/>
        </patternFill>
      </fill>
    </dxf>
    <dxf>
      <fill>
        <patternFill>
          <bgColor rgb="FFCAFFCA"/>
        </patternFill>
      </fill>
    </dxf>
    <dxf>
      <fill>
        <patternFill>
          <bgColor rgb="FFFF0000"/>
        </patternFill>
      </fill>
    </dxf>
    <dxf>
      <fill>
        <patternFill>
          <bgColor rgb="FFCAFFCA"/>
        </patternFill>
      </fill>
    </dxf>
    <dxf>
      <fill>
        <patternFill>
          <bgColor rgb="FFCAFFCA"/>
        </patternFill>
      </fill>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4" formatCode="_(&quot;$&quot;* #,##0.00_);_(&quot;$&quot;* \(#,##0.00\);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4" formatCode="_(&quot;$&quot;* #,##0.00_);_(&quot;$&quot;* \(#,##0.00\);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medium">
          <color auto="1"/>
        </left>
        <right style="medium">
          <color auto="1"/>
        </right>
        <top style="thin">
          <color auto="1"/>
        </top>
        <bottom style="thin">
          <color auto="1"/>
        </bottom>
      </border>
    </dxf>
    <dxf>
      <font>
        <strike val="0"/>
        <outline val="0"/>
        <shadow val="0"/>
        <u val="none"/>
        <vertAlign val="baseline"/>
        <sz val="11"/>
        <name val="Calibri"/>
        <family val="2"/>
      </font>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numFmt numFmtId="0" formatCode="General"/>
      <alignment horizontal="left" vertical="center" textRotation="0" indent="0" justifyLastLine="0" shrinkToFit="0" readingOrder="0"/>
      <border diagonalUp="0" diagonalDown="0">
        <left style="thin">
          <color auto="1"/>
        </left>
        <right style="thin">
          <color auto="1"/>
        </right>
        <top style="thin">
          <color auto="1"/>
        </top>
        <bottom style="thin">
          <color auto="1"/>
        </bottom>
      </border>
    </dxf>
    <dxf>
      <font>
        <b val="0"/>
        <strike val="0"/>
        <outline val="0"/>
        <shadow val="0"/>
        <u val="none"/>
        <vertAlign val="baseline"/>
        <sz val="11"/>
        <color theme="1"/>
        <name val="Calibri"/>
        <family val="2"/>
        <scheme val="minor"/>
      </font>
      <alignment horizontal="left" vertical="center" textRotation="0" indent="0" justifyLastLine="0" shrinkToFit="0" readingOrder="0"/>
      <border diagonalUp="0" diagonalDown="0" outline="0">
        <left/>
        <right style="thin">
          <color auto="1"/>
        </right>
        <top style="thin">
          <color auto="1"/>
        </top>
        <bottom style="thin">
          <color auto="1"/>
        </bottom>
      </border>
    </dxf>
    <dxf>
      <border outline="0">
        <top style="thin">
          <color theme="1"/>
        </top>
      </border>
    </dxf>
    <dxf>
      <font>
        <b val="0"/>
        <strike val="0"/>
        <outline val="0"/>
        <shadow val="0"/>
        <u val="none"/>
        <vertAlign val="baseline"/>
        <sz val="11"/>
        <color theme="1"/>
        <name val="Calibri"/>
        <family val="2"/>
        <scheme val="minor"/>
      </font>
      <alignment horizontal="left" vertical="center" textRotation="0" indent="0" justifyLastLine="0" shrinkToFit="0" readingOrder="0"/>
    </dxf>
    <dxf>
      <border outline="0">
        <bottom style="thin">
          <color theme="1"/>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 Patra, Alicia" id="{DBFFD22A-3A8F-4464-88C5-58DB33551A50}" userId="S::ALaPatra@pwcgov.org::2dec7ea7-c3ac-4de3-aeb9-ec559a69f7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E92769-4C9D-4100-95B5-465A2BAD3909}" name="Table2033" displayName="Table2033" ref="A2:I10" totalsRowShown="0" headerRowDxfId="111" dataDxfId="109" headerRowBorderDxfId="110" tableBorderDxfId="108">
  <autoFilter ref="A2:I10" xr:uid="{53E92769-4C9D-4100-95B5-465A2BAD3909}"/>
  <sortState xmlns:xlrd2="http://schemas.microsoft.com/office/spreadsheetml/2017/richdata2" ref="A3:I7">
    <sortCondition descending="1" ref="H3:H7"/>
  </sortState>
  <tableColumns count="9">
    <tableColumn id="1" xr3:uid="{947A4C1E-E1E1-490D-8B21-58EF8B64789D}" name="Grant #" dataDxfId="107"/>
    <tableColumn id="12" xr3:uid="{43CE22BB-276A-4FA4-B220-3F78FAE05E37}" name="Project Name"/>
    <tableColumn id="3" xr3:uid="{B32BF56F-D70A-442F-8D73-52CA1AD3CAC2}" name="Project Type" dataDxfId="106">
      <calculatedColumnFormula>_xlfn.XLOOKUP($A3,'Scoring Calculator'!$A$5:$A$11,'Scoring Calculator'!$C$5:$C$11,"TBD",0)</calculatedColumnFormula>
    </tableColumn>
    <tableColumn id="9" xr3:uid="{6CAF1B4B-3BCD-4869-AA9F-BDC845BFF7DD}" name="Recipient Name" dataDxfId="105">
      <calculatedColumnFormula>_xlfn.XLOOKUP($A3,'Scoring Calculator'!$A$5:$A$11,'Scoring Calculator'!$E$5:$E$11,"TBD",0)</calculatedColumnFormula>
    </tableColumn>
    <tableColumn id="8" xr3:uid="{0177AFC6-16F6-445F-8DF9-4D85AC36E1DA}" name="Performance Points Available*" dataDxfId="104"/>
    <tableColumn id="7" xr3:uid="{38B87C04-E1FD-43D7-8B46-72D187C45D76}" name="Performance Points Earned" dataDxfId="103"/>
    <tableColumn id="2" xr3:uid="{BA3832EC-50D4-483E-ADF7-EFF28CBB1D23}" name="Bonus Points Earned" dataDxfId="102"/>
    <tableColumn id="5" xr3:uid="{49B9BB85-FDEB-4DC5-9578-19A069776B6E}" name="Score" dataDxfId="101"/>
    <tableColumn id="10" xr3:uid="{7B63BA91-8A64-48AD-930F-EF1348A55BA8}" name="Rank" dataDxfId="10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4EE1F7-66EC-48BE-A9A7-4021BFD76144}" name="Table2" displayName="Table2" ref="A3:CM10" totalsRowShown="0" headerRowDxfId="99" dataDxfId="97" headerRowBorderDxfId="98" tableBorderDxfId="96">
  <autoFilter ref="A3:CM10" xr:uid="{534EE1F7-66EC-48BE-A9A7-4021BFD76144}"/>
  <sortState xmlns:xlrd2="http://schemas.microsoft.com/office/spreadsheetml/2017/richdata2" ref="A4:CM10">
    <sortCondition ref="D3:D10"/>
  </sortState>
  <tableColumns count="91">
    <tableColumn id="1" xr3:uid="{6412B75E-8AD9-4187-8D07-87A636D7B244}" name="Grant #" dataDxfId="95"/>
    <tableColumn id="2" xr3:uid="{F257039F-BED3-490F-9F05-1A88EE98E0B3}" name="Project Component" dataDxfId="94"/>
    <tableColumn id="3" xr3:uid="{DCD5376C-0ABE-4368-852F-EB93D35D76E0}" name="Project Type" dataDxfId="93"/>
    <tableColumn id="4" xr3:uid="{0330FB82-1FE1-4AD2-91B7-F3C906704EC5}" name="Agency Name" dataDxfId="92"/>
    <tableColumn id="5" xr3:uid="{AE7DEDA9-532E-4A23-8D61-9244E1286B91}" name="Project Name (Sage)" dataDxfId="91"/>
    <tableColumn id="6" xr3:uid="{3A09C6D1-98EB-4B8F-A948-8718619E3A8C}" name="NOTES" dataDxfId="90"/>
    <tableColumn id="7" xr3:uid="{1166CAFE-7271-4F0E-9F8D-1CC7839CF8A7}" name="Measure 5 (a) " dataDxfId="89"/>
    <tableColumn id="8" xr3:uid="{1C4C2A02-1C3B-49C2-A8D2-4FD4DC66FA97}" name="Measure 2 (a)" dataDxfId="88"/>
    <tableColumn id="9" xr3:uid="{4E0080F7-6C22-4F8E-B207-E34B0FE0635A}" name="Project Info (a)" dataDxfId="87"/>
    <tableColumn id="10" xr3:uid="{17AC8CF9-BF33-4335-9D60-93838C5AC824}" name="Measure 16 (a)" dataDxfId="86" dataCellStyle="Percent"/>
    <tableColumn id="11" xr3:uid="{195BA6C7-040F-4C26-8719-A161642AE489}" name="Project Info (b)" dataDxfId="85"/>
    <tableColumn id="12" xr3:uid="{AE4864BC-23D0-4203-A776-8834A0A84D28}" name="Project Info (c)" dataDxfId="84"/>
    <tableColumn id="13" xr3:uid="{5CA90B08-58BB-4C44-85D6-3C50A5B2EC22}" name="Project Info (d)" dataDxfId="83"/>
    <tableColumn id="14" xr3:uid="{5B462532-DA19-496A-ADF8-909BEF39E9D9}" name="Measure 1 (a)" dataDxfId="82"/>
    <tableColumn id="15" xr3:uid="{A644548A-79CC-42D9-9593-408CF1F96C44}" name="Measure 1 (b)" dataDxfId="81"/>
    <tableColumn id="16" xr3:uid="{4B0451BE-8206-41C0-BE18-6671E0C2A424}" name="Measure 14 (a)" dataDxfId="80"/>
    <tableColumn id="17" xr3:uid="{F7F2C950-B599-41B1-B5D4-1F9812A42FD6}" name="Measure 14 (b)" dataDxfId="79"/>
    <tableColumn id="22" xr3:uid="{2D61F99A-D339-46FA-8403-DA88ED8EC80D}" name="Measure 17 (a)" dataDxfId="78"/>
    <tableColumn id="23" xr3:uid="{A5FCED28-0550-439D-8349-7ADB238A6971}" name="Measure 18 (a)" dataDxfId="77"/>
    <tableColumn id="24" xr3:uid="{0E2313D8-9E2E-4DBB-8751-B63B240E36BB}" name="Measure 19 (a)" dataDxfId="76"/>
    <tableColumn id="25" xr3:uid="{51DB48FD-994E-4A50-8FC2-5957A5B815CB}" name="Project Info (e)" dataDxfId="75"/>
    <tableColumn id="26" xr3:uid="{5646B554-B85E-4780-A063-B3DA8674CF2A}" name="Project Info (f)" dataDxfId="74"/>
    <tableColumn id="27" xr3:uid="{5D4BD1D9-84F5-482D-B5B2-EAF3E6BABBF8}" name="Measure 15 (a)" dataDxfId="73"/>
    <tableColumn id="28" xr3:uid="{F06B5E8F-782E-4E08-A9C9-B520A7CFFE1F}" name="Measure 15 (b)" dataDxfId="72"/>
    <tableColumn id="29" xr3:uid="{B7127264-5B64-47AE-AC05-1C3F6009D1B7}" name="Measure 15 (c)" dataDxfId="71"/>
    <tableColumn id="30" xr3:uid="{B7BE9778-DE9A-4A92-AD6A-82AF6C6BADF5}" name="Measure 15 (d)" dataDxfId="70"/>
    <tableColumn id="31" xr3:uid="{7EADBBEA-7702-49DC-B608-876A61EF87DD}" name="Measure 15 (e)" dataDxfId="69"/>
    <tableColumn id="32" xr3:uid="{D370F558-514A-46B7-8543-3BB2B029E9E9}" name="Measure 15 (f)" dataDxfId="68"/>
    <tableColumn id="33" xr3:uid="{0E87BA5F-0435-4315-ABAE-C827C194C1E4}" name="Project Info (g)" dataDxfId="67"/>
    <tableColumn id="34" xr3:uid="{3219FA82-6F22-4BA5-A234-CCF1D3BFAE67}" name="Project Info (h)" dataDxfId="66"/>
    <tableColumn id="35" xr3:uid="{18DF5A6F-E7ED-4CD0-8AF1-0BB9983051A6}" name="Project Info (i)" dataDxfId="65"/>
    <tableColumn id="36" xr3:uid="{BFC0A74F-1748-46ED-A827-ED6C91171C62}" name="Measure 2 (b)" dataDxfId="64"/>
    <tableColumn id="37" xr3:uid="{30F554E0-7A37-4F32-B9AE-40BD1EFC6A0C}" name="Measure 2 (c)" dataDxfId="63"/>
    <tableColumn id="38" xr3:uid="{41C3AA02-B264-4DA8-B21C-4E6B6DD290F1}" name="Meaure 2 (d)" dataDxfId="62"/>
    <tableColumn id="39" xr3:uid="{8B699B95-7472-4BA0-87E2-F5FF7D871EF8}" name="Measure 2 (e)" dataDxfId="61"/>
    <tableColumn id="40" xr3:uid="{5EFAECE3-15E3-4FAC-9517-ECDAA92103E0}" name="Measure 23 (a)" dataDxfId="60"/>
    <tableColumn id="41" xr3:uid="{F67D0981-DE56-4443-AFD3-C58B5BBC8017}" name="Measure 24 (a)" dataDxfId="59"/>
    <tableColumn id="42" xr3:uid="{942D0958-EF4F-45FE-A26B-B9CB34500AAE}" name="Measure 24 (b)" dataDxfId="58"/>
    <tableColumn id="43" xr3:uid="{CCFE80FA-0179-49D3-9DFA-CC31625EEA06}" name="Measures 23 - 24" dataDxfId="57"/>
    <tableColumn id="44" xr3:uid="{F711C43B-AD1B-4C36-9994-7C84E81DD870}" name="Measure 20 (a)" dataDxfId="56"/>
    <tableColumn id="45" xr3:uid="{0B7130B1-64C1-4808-9AA8-20DDCDDF03F4}" name="Measure 20 (b)" dataDxfId="55"/>
    <tableColumn id="46" xr3:uid="{4D828F28-9109-4185-A5A2-EC4D02C821B2}" name="Measure 20 (c)" dataDxfId="54"/>
    <tableColumn id="47" xr3:uid="{6E8D92CE-85C3-4B97-B632-F2AF65D23BBE}" name="Measure 20 (d)" dataDxfId="53"/>
    <tableColumn id="48" xr3:uid="{3A0A21A6-E267-4196-A44F-945D20D1A511}" name="Measure 20 (e)" dataDxfId="52"/>
    <tableColumn id="49" xr3:uid="{8E02E562-6D72-48A7-BB9A-64869238683D}" name="Measure 20 (f)" dataDxfId="51"/>
    <tableColumn id="50" xr3:uid="{D5541B32-E0C4-4A22-8DAB-BD7315C62C8A}" name="Measure 20 (g)" dataDxfId="50"/>
    <tableColumn id="51" xr3:uid="{8ECEDB67-EA11-4D5F-A59E-E55615C6FF1A}" name="Measure 20 (h)" dataDxfId="49"/>
    <tableColumn id="52" xr3:uid="{BD36690E-CA14-425B-9CD7-C16A384CD678}" name="Measure 21 (a)" dataDxfId="48"/>
    <tableColumn id="53" xr3:uid="{F368642D-42CE-4F64-8341-BADE3D06A48D}" name="Measure 21 (b)" dataDxfId="47"/>
    <tableColumn id="54" xr3:uid="{64EBB0EE-0125-4DD2-96A8-767B4F1D29B4}" name="Measure 21 (c)" dataDxfId="46"/>
    <tableColumn id="55" xr3:uid="{689A0B9C-D826-437E-A43C-20F4E41C2FD5}" name="Measure 22 (a)" dataDxfId="45"/>
    <tableColumn id="56" xr3:uid="{8E983797-1DEE-4357-9FDD-6FC512A0E872}" name="Measure 3 (a)" dataDxfId="44"/>
    <tableColumn id="57" xr3:uid="{C9045B58-8252-4074-BF58-4620B0082C34}" name="Measure 3 (b)" dataDxfId="43"/>
    <tableColumn id="58" xr3:uid="{1797F186-5AF8-4760-9A47-90A09C57FA4A}" name="Measure 3 (c)" dataDxfId="42"/>
    <tableColumn id="59" xr3:uid="{9EA8F472-7F44-4228-BCB5-494D58ECC0BE}" name="Measures 6 - 9 (a)" dataDxfId="41"/>
    <tableColumn id="60" xr3:uid="{E809E94D-5E98-4344-89B4-6AC3E54B4DA5}" name="Measures 6 - 9 (b)" dataDxfId="40"/>
    <tableColumn id="61" xr3:uid="{E700FA98-13B6-45D9-A08D-E16A68D66094}" name="Measures 6 - 9 (c)" dataDxfId="39"/>
    <tableColumn id="62" xr3:uid="{41F9E292-8EC3-4805-8F79-244A9583A09F}" name="Measures 6 - 9 (d)" dataDxfId="38"/>
    <tableColumn id="63" xr3:uid="{D506AD8E-6624-48EA-9B80-17ED712A0A69}" name="Measures 6 - 9 (e)" dataDxfId="37"/>
    <tableColumn id="64" xr3:uid="{C2E20268-5435-4A86-ACB4-5184E3C083F5}" name="Measure 8 (a)" dataDxfId="36"/>
    <tableColumn id="65" xr3:uid="{3F20A0EC-D823-4F91-B5C4-C25AC1E6C524}" name="Measure 8 (b)" dataDxfId="35"/>
    <tableColumn id="66" xr3:uid="{A91C8D62-37B1-4510-9F93-9B8ED3CDA1AC}" name="Measure 8 (c)" dataDxfId="34"/>
    <tableColumn id="67" xr3:uid="{FC2F35BF-C8FD-46C9-BCDD-90125639AF35}" name="Measure 8 (d)" dataDxfId="33"/>
    <tableColumn id="68" xr3:uid="{BD37FAC7-120B-4A3E-B897-4B350233AE9D}" name="Measure 6 (a)" dataDxfId="32"/>
    <tableColumn id="69" xr3:uid="{5FD98B45-C12F-4F63-84F5-E47730CA4EDF}" name="Measure 7 (a)" dataDxfId="31"/>
    <tableColumn id="70" xr3:uid="{8E688BB2-D309-4B97-B25E-642E3198C4CF}" name="Measure 6 (b)" dataDxfId="30"/>
    <tableColumn id="71" xr3:uid="{DC7B5F63-F1EC-490E-AF69-9A5E14152408}" name="Measure 7 (b)" dataDxfId="29"/>
    <tableColumn id="72" xr3:uid="{212BFEAF-11A8-4745-8127-DFC5F9D62CDD}" name="Measure 9 (a)" dataDxfId="28"/>
    <tableColumn id="73" xr3:uid="{2285E466-CD22-4287-9C92-A3D7DDD3F40D}" name="Measure 9 (b)" dataDxfId="27"/>
    <tableColumn id="74" xr3:uid="{15FBE993-308F-474A-B37E-31C7ACEA9FB2}" name="Measure 9 (c)" dataDxfId="26"/>
    <tableColumn id="75" xr3:uid="{F020FDE8-5229-4D79-9DB5-640AF2EB61A8}" name="Measure 9 (d)" dataDxfId="25"/>
    <tableColumn id="76" xr3:uid="{400A6344-2391-426F-B41C-9209927DB1ED}" name="Measure 9 (e)" dataDxfId="24"/>
    <tableColumn id="77" xr3:uid="{3FE8D4EA-A9CB-41E1-955E-477FBC26DA68}" name="Measure 9 (f)" dataDxfId="23"/>
    <tableColumn id="78" xr3:uid="{16BF82E9-3F94-42FE-A67C-5D0526668FE8}" name="Measure 10 (a)_x000a_(RRH Only)" dataDxfId="22"/>
    <tableColumn id="79" xr3:uid="{CAC5E15A-CF2F-4C79-A45D-8E3AB38AEC14}" name="Measure 10 (b)_x000a_(RRH Only)" dataDxfId="21"/>
    <tableColumn id="80" xr3:uid="{BF872350-75C1-490A-A392-A74E53C0B0EC}" name="Measure 10 (c)_x000a_(RRH Only)" dataDxfId="20"/>
    <tableColumn id="81" xr3:uid="{E6A1AE57-4A3B-4EBF-839F-3FC5FBE174F5}" name="Measure 10 (d) _x000a_(RRH Only)" dataDxfId="19"/>
    <tableColumn id="82" xr3:uid="{6D2639D2-75A1-46E7-9140-35A12BCFB4A9}" name="Measure 10 (e)_x000a_(RRH Only)" dataDxfId="18"/>
    <tableColumn id="83" xr3:uid="{E8919CAF-DC0D-4CE6-AEFE-30956BB973F0}" name="Measures 10_x000a_(RRH Only)_x000a_Measure 11_x000a_(PSH Only)" dataDxfId="17"/>
    <tableColumn id="84" xr3:uid="{D9C929D4-A336-47EE-8F27-B1681D7EFC7A}" name="Measure 5 (b)" dataDxfId="16"/>
    <tableColumn id="85" xr3:uid="{ADC95F9F-4E2D-4559-A4B9-750EAAB3120B}" name="Measure 13 (a)" dataDxfId="15"/>
    <tableColumn id="86" xr3:uid="{CBC7A6F8-9C61-4F4F-990D-6195EECF9097}" name="Measure 13 (b)" dataDxfId="14"/>
    <tableColumn id="87" xr3:uid="{AB4869D6-458E-46E9-8EF8-A69BD8C32948}" name="Measures 11 - 13 (a)" dataDxfId="13"/>
    <tableColumn id="88" xr3:uid="{36FB1983-BEA9-48D7-98E5-57A84E45E01E}" name="Measures 11 - 13 (b)" dataDxfId="12"/>
    <tableColumn id="89" xr3:uid="{7113311F-8BDB-45D4-89CA-479830F6CE92}" name="Measures 11 - 13 ©" dataDxfId="11"/>
    <tableColumn id="90" xr3:uid="{A8339A14-B791-4527-9E65-861E09BD961F}" name="Measures 11 - 13 (d)" dataDxfId="10"/>
    <tableColumn id="91" xr3:uid="{B954C226-BEEA-49D6-9EC3-4D7EE2F3D06C}" name="Measures 11 - 13 (e)" dataDxfId="9"/>
    <tableColumn id="92" xr3:uid="{57C59443-6F09-4D6E-96BF-8A160FA0D619}" name="Measures 11 - 13 (f)" dataDxfId="8"/>
    <tableColumn id="93" xr3:uid="{D02B9FC5-D1D9-48ED-A5FD-5A45BB2E7AA1}" name="Measure 4 (a)_x000a_(PSH Only)" dataDxfId="7"/>
    <tableColumn id="94" xr3:uid="{7862C6A9-6BB5-460A-93F7-73DF32E3B1CF}" name="Measure 4 (b)_x000a_(PSH Only)" dataDxfId="6"/>
    <tableColumn id="95" xr3:uid="{B64EC086-47D1-45CC-9F03-99DD6A878D9E}" name="Measure 4 (c)_x000a_(PSH Only)" dataDxfId="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1-26T02:35:55.44" personId="{DBFFD22A-3A8F-4464-88C5-58DB33551A50}" id="{C35772CE-565C-40C6-AB0B-709244E3E02D}">
    <text xml:space="preserve">No edits </text>
  </threadedComment>
</ThreadedComments>
</file>

<file path=xl/threadedComments/threadedComment2.xml><?xml version="1.0" encoding="utf-8"?>
<ThreadedComments xmlns="http://schemas.microsoft.com/office/spreadsheetml/2018/threadedcomments" xmlns:x="http://schemas.openxmlformats.org/spreadsheetml/2006/main">
  <threadedComment ref="E49" dT="2026-06-15T21:03:17.25" personId="{DBFFD22A-3A8F-4464-88C5-58DB33551A50}" id="{8BE7BE16-DE79-42C9-B42B-7760F52C1993}">
    <text>Bonus Points included: 100%</text>
  </threadedComment>
  <threadedComment ref="E50" dT="2026-06-15T21:03:32.68" personId="{DBFFD22A-3A8F-4464-88C5-58DB33551A50}" id="{568F29EE-A17F-4FF4-BE98-15CF47B91880}">
    <text>Bonus Points included: 36%</text>
  </threadedComment>
</ThreadedComments>
</file>

<file path=xl/threadedComments/threadedComment3.xml><?xml version="1.0" encoding="utf-8"?>
<ThreadedComments xmlns="http://schemas.microsoft.com/office/spreadsheetml/2018/threadedcomments" xmlns:x="http://schemas.openxmlformats.org/spreadsheetml/2006/main">
  <threadedComment ref="H2" dT="2024-07-26T17:37:28.08" personId="{DBFFD22A-3A8F-4464-88C5-58DB33551A50}" id="{38D1C3D1-94CA-4FCB-904B-E4DDF2678E58}">
    <text>Formula for scores: ((Performance Points Earned (Column H) / Performance Points Available (Column G) * 100) + (Bonus Points Earned (Column I))) = Final Score (Column J)</text>
  </threadedComment>
</ThreadedComments>
</file>

<file path=xl/threadedComments/threadedComment4.xml><?xml version="1.0" encoding="utf-8"?>
<ThreadedComments xmlns="http://schemas.microsoft.com/office/spreadsheetml/2018/threadedcomments" xmlns:x="http://schemas.openxmlformats.org/spreadsheetml/2006/main">
  <threadedComment ref="CE3" dT="2025-12-16T16:49:40.58" personId="{DBFFD22A-3A8F-4464-88C5-58DB33551A50}" id="{0114D442-7DAB-4CD8-BCC8-C7A3B4112298}">
    <text>Measure 10: RRH Only
Measure 11: PSH Only
Measure 12: RRH Only
Measure 13: All projects</text>
  </threadedComment>
</ThreadedComments>
</file>

<file path=xl/threadedComments/threadedComment5.xml><?xml version="1.0" encoding="utf-8"?>
<ThreadedComments xmlns="http://schemas.microsoft.com/office/spreadsheetml/2018/threadedcomments" xmlns:x="http://schemas.openxmlformats.org/spreadsheetml/2006/main">
  <threadedComment ref="D1" dT="2025-11-26T02:49:12.39" personId="{DBFFD22A-3A8F-4464-88C5-58DB33551A50}" id="{1AC80250-06B3-4482-9779-478860DD9F16}">
    <text>Updated project names to match Sage; projects in red text need to be removed (combined with other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8" Type="http://schemas.openxmlformats.org/officeDocument/2006/relationships/hyperlink" Target="javascript:void(0);" TargetMode="External"/><Relationship Id="rId13"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3252-8AF3-4B4E-896B-A70AFB82F2D2}">
  <sheetPr>
    <tabColor theme="1" tint="0.34998626667073579"/>
  </sheetPr>
  <dimension ref="A1:B7"/>
  <sheetViews>
    <sheetView workbookViewId="0">
      <selection sqref="A1:B1"/>
    </sheetView>
  </sheetViews>
  <sheetFormatPr defaultRowHeight="15" x14ac:dyDescent="0.25"/>
  <cols>
    <col min="1" max="1" width="4.42578125" customWidth="1"/>
    <col min="2" max="2" width="77.42578125" style="3" customWidth="1"/>
    <col min="3" max="3" width="9.42578125" customWidth="1"/>
  </cols>
  <sheetData>
    <row r="1" spans="1:2" ht="23.25" customHeight="1" x14ac:dyDescent="0.25">
      <c r="A1" s="518" t="s">
        <v>0</v>
      </c>
      <c r="B1" s="518"/>
    </row>
    <row r="2" spans="1:2" ht="30" x14ac:dyDescent="0.25">
      <c r="A2" s="234">
        <v>1</v>
      </c>
      <c r="B2" s="235" t="s">
        <v>1</v>
      </c>
    </row>
    <row r="3" spans="1:2" ht="30" x14ac:dyDescent="0.25">
      <c r="A3" s="234">
        <v>2</v>
      </c>
      <c r="B3" s="235" t="s">
        <v>2</v>
      </c>
    </row>
    <row r="4" spans="1:2" ht="60" x14ac:dyDescent="0.25">
      <c r="A4" s="234">
        <v>3</v>
      </c>
      <c r="B4" s="235" t="s">
        <v>3</v>
      </c>
    </row>
    <row r="5" spans="1:2" ht="90" x14ac:dyDescent="0.25">
      <c r="A5" s="234">
        <v>4</v>
      </c>
      <c r="B5" s="235" t="s">
        <v>4</v>
      </c>
    </row>
    <row r="6" spans="1:2" ht="30" x14ac:dyDescent="0.25">
      <c r="A6" s="234">
        <v>5</v>
      </c>
      <c r="B6" s="235" t="s">
        <v>5</v>
      </c>
    </row>
    <row r="7" spans="1:2" ht="30" x14ac:dyDescent="0.25">
      <c r="A7" s="234">
        <v>6</v>
      </c>
      <c r="B7" s="235" t="s">
        <v>6</v>
      </c>
    </row>
  </sheetData>
  <mergeCells count="1">
    <mergeCell ref="A1:B1"/>
  </mergeCells>
  <pageMargins left="0.7" right="0.7" top="0.75" bottom="0.75" header="0.3" footer="0.3"/>
  <pageSetup orientation="portrait" horizontalDpi="90" verticalDpi="9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E528-528D-4D13-B33C-ADF30CA99865}">
  <sheetPr>
    <tabColor theme="2" tint="-0.499984740745262"/>
    <pageSetUpPr fitToPage="1"/>
  </sheetPr>
  <dimension ref="A1:K276"/>
  <sheetViews>
    <sheetView workbookViewId="0">
      <selection activeCell="A2" sqref="A2"/>
    </sheetView>
  </sheetViews>
  <sheetFormatPr defaultColWidth="8.85546875" defaultRowHeight="15" x14ac:dyDescent="0.25"/>
  <cols>
    <col min="1" max="1" width="53.140625" style="50" customWidth="1"/>
    <col min="2" max="2" width="13.5703125" style="49" customWidth="1"/>
    <col min="3" max="3" width="22.5703125" style="49" customWidth="1"/>
    <col min="4" max="4" width="18.5703125" style="49" customWidth="1"/>
    <col min="5" max="5" width="13.85546875" style="49" customWidth="1"/>
    <col min="6" max="6" width="15.5703125" style="49" customWidth="1"/>
    <col min="7" max="7" width="15.42578125" style="49" customWidth="1"/>
    <col min="8" max="8" width="14.85546875" style="49" customWidth="1"/>
    <col min="9" max="9" width="15.5703125" style="49" customWidth="1"/>
    <col min="10" max="10" width="17.42578125" style="49" customWidth="1"/>
    <col min="11" max="11" width="14" style="50" customWidth="1"/>
    <col min="12" max="12" width="13.140625" style="50" customWidth="1"/>
    <col min="13" max="13" width="14" style="50" customWidth="1"/>
    <col min="14" max="15" width="13.140625" style="50" customWidth="1"/>
    <col min="16" max="16384" width="8.85546875" style="50"/>
  </cols>
  <sheetData>
    <row r="1" spans="1:11" s="62" customFormat="1" ht="22.5" customHeight="1" x14ac:dyDescent="0.25">
      <c r="A1" s="696" t="s">
        <v>621</v>
      </c>
      <c r="B1" s="696"/>
      <c r="C1" s="696"/>
      <c r="D1" s="61"/>
      <c r="E1" s="61"/>
      <c r="F1" s="61"/>
      <c r="G1" s="61"/>
      <c r="H1" s="61"/>
      <c r="I1" s="61"/>
      <c r="J1" s="61"/>
    </row>
    <row r="2" spans="1:11" ht="15.75" thickBot="1" x14ac:dyDescent="0.3"/>
    <row r="3" spans="1:11" ht="42.6" customHeight="1" thickTop="1" thickBot="1" x14ac:dyDescent="0.3">
      <c r="A3" s="51" t="s">
        <v>321</v>
      </c>
      <c r="B3" s="52" t="s">
        <v>322</v>
      </c>
      <c r="C3" s="53" t="s">
        <v>323</v>
      </c>
      <c r="K3" s="49"/>
    </row>
    <row r="4" spans="1:11" ht="16.5" thickTop="1" thickBot="1" x14ac:dyDescent="0.3">
      <c r="A4" s="317" t="s">
        <v>324</v>
      </c>
      <c r="B4" s="225">
        <v>24</v>
      </c>
      <c r="C4" s="54">
        <v>24</v>
      </c>
      <c r="K4" s="49"/>
    </row>
    <row r="5" spans="1:11" ht="16.5" thickTop="1" thickBot="1" x14ac:dyDescent="0.3">
      <c r="A5" s="318" t="s">
        <v>325</v>
      </c>
      <c r="B5" s="225">
        <v>21</v>
      </c>
      <c r="C5" s="54">
        <v>21</v>
      </c>
      <c r="K5" s="49"/>
    </row>
    <row r="6" spans="1:11" ht="15.75" thickTop="1" x14ac:dyDescent="0.25">
      <c r="A6" s="318" t="s">
        <v>326</v>
      </c>
      <c r="B6" s="225">
        <v>3</v>
      </c>
      <c r="C6" s="319">
        <v>3</v>
      </c>
      <c r="K6" s="49"/>
    </row>
    <row r="7" spans="1:11" x14ac:dyDescent="0.25">
      <c r="A7" s="318" t="s">
        <v>327</v>
      </c>
      <c r="B7" s="225">
        <v>0</v>
      </c>
      <c r="C7" s="319">
        <v>0</v>
      </c>
      <c r="K7" s="49"/>
    </row>
    <row r="8" spans="1:11" x14ac:dyDescent="0.25">
      <c r="A8" s="318" t="s">
        <v>328</v>
      </c>
      <c r="B8" s="225">
        <v>8</v>
      </c>
      <c r="C8" s="319">
        <v>8</v>
      </c>
      <c r="K8" s="49"/>
    </row>
    <row r="9" spans="1:11" x14ac:dyDescent="0.25">
      <c r="A9" s="318" t="s">
        <v>329</v>
      </c>
      <c r="B9" s="225">
        <v>6</v>
      </c>
      <c r="C9" s="319">
        <v>6</v>
      </c>
      <c r="K9" s="49"/>
    </row>
    <row r="10" spans="1:11" x14ac:dyDescent="0.25">
      <c r="A10" s="318" t="s">
        <v>330</v>
      </c>
      <c r="B10" s="225">
        <v>6</v>
      </c>
      <c r="C10" s="319">
        <v>6</v>
      </c>
      <c r="K10" s="49"/>
    </row>
    <row r="11" spans="1:11" x14ac:dyDescent="0.25">
      <c r="A11" s="318" t="s">
        <v>331</v>
      </c>
      <c r="B11" s="225">
        <v>16</v>
      </c>
      <c r="C11" s="319">
        <v>16</v>
      </c>
      <c r="K11" s="49"/>
    </row>
    <row r="12" spans="1:11" x14ac:dyDescent="0.25">
      <c r="A12" s="318" t="s">
        <v>332</v>
      </c>
      <c r="B12" s="225">
        <v>15</v>
      </c>
      <c r="C12" s="319">
        <v>15</v>
      </c>
      <c r="K12" s="49"/>
    </row>
    <row r="13" spans="1:11" x14ac:dyDescent="0.25">
      <c r="A13" s="318" t="s">
        <v>333</v>
      </c>
      <c r="B13" s="225">
        <v>0</v>
      </c>
      <c r="C13" s="319">
        <v>0</v>
      </c>
      <c r="K13" s="49"/>
    </row>
    <row r="14" spans="1:11" x14ac:dyDescent="0.25">
      <c r="A14" s="318" t="s">
        <v>334</v>
      </c>
      <c r="B14" s="225">
        <v>18</v>
      </c>
      <c r="C14" s="319">
        <v>18</v>
      </c>
      <c r="K14" s="49"/>
    </row>
    <row r="15" spans="1:11" x14ac:dyDescent="0.25">
      <c r="A15" s="318" t="s">
        <v>335</v>
      </c>
      <c r="B15" s="225">
        <v>1</v>
      </c>
      <c r="C15" s="319">
        <v>1</v>
      </c>
      <c r="K15" s="49"/>
    </row>
    <row r="16" spans="1:11" x14ac:dyDescent="0.25">
      <c r="A16" s="318" t="s">
        <v>336</v>
      </c>
      <c r="B16" s="225">
        <v>0</v>
      </c>
      <c r="C16" s="319">
        <v>0</v>
      </c>
      <c r="K16" s="49"/>
    </row>
    <row r="17" spans="1:11" x14ac:dyDescent="0.25">
      <c r="A17" s="318" t="s">
        <v>337</v>
      </c>
      <c r="B17" s="225">
        <v>20</v>
      </c>
      <c r="C17" s="319">
        <v>20</v>
      </c>
      <c r="K17" s="49"/>
    </row>
    <row r="18" spans="1:11" x14ac:dyDescent="0.25">
      <c r="A18" s="318" t="s">
        <v>338</v>
      </c>
      <c r="B18" s="225">
        <v>0</v>
      </c>
      <c r="C18" s="319">
        <v>0</v>
      </c>
      <c r="K18" s="49"/>
    </row>
    <row r="19" spans="1:11" ht="30.75" thickBot="1" x14ac:dyDescent="0.3">
      <c r="A19" s="122" t="s">
        <v>339</v>
      </c>
      <c r="B19" s="123">
        <v>12</v>
      </c>
      <c r="C19" s="124">
        <v>12</v>
      </c>
      <c r="K19" s="49"/>
    </row>
    <row r="20" spans="1:11" ht="15.75" thickTop="1" x14ac:dyDescent="0.25">
      <c r="A20" s="55"/>
      <c r="B20" s="55"/>
    </row>
    <row r="21" spans="1:11" ht="15.75" thickBot="1" x14ac:dyDescent="0.3">
      <c r="A21" s="55"/>
      <c r="B21" s="55"/>
    </row>
    <row r="22" spans="1:11" ht="46.5" thickTop="1" thickBot="1" x14ac:dyDescent="0.3">
      <c r="A22" s="56" t="s">
        <v>340</v>
      </c>
      <c r="B22" s="63" t="s">
        <v>341</v>
      </c>
      <c r="C22" s="57" t="s">
        <v>342</v>
      </c>
    </row>
    <row r="23" spans="1:11" ht="16.5" thickTop="1" thickBot="1" x14ac:dyDescent="0.3">
      <c r="A23" s="317" t="s">
        <v>343</v>
      </c>
      <c r="B23" s="64">
        <v>0</v>
      </c>
      <c r="C23" s="320">
        <v>0</v>
      </c>
    </row>
    <row r="24" spans="1:11" ht="16.5" thickTop="1" thickBot="1" x14ac:dyDescent="0.3">
      <c r="A24" s="317" t="s">
        <v>344</v>
      </c>
      <c r="B24" s="64">
        <v>0</v>
      </c>
      <c r="C24" s="320">
        <v>4</v>
      </c>
    </row>
    <row r="25" spans="1:11" ht="16.5" thickTop="1" thickBot="1" x14ac:dyDescent="0.3">
      <c r="A25" s="317" t="s">
        <v>345</v>
      </c>
      <c r="B25" s="64">
        <v>1</v>
      </c>
      <c r="C25" s="320">
        <v>0</v>
      </c>
    </row>
    <row r="26" spans="1:11" ht="16.5" thickTop="1" thickBot="1" x14ac:dyDescent="0.3">
      <c r="A26" s="317" t="s">
        <v>346</v>
      </c>
      <c r="B26" s="64">
        <v>2</v>
      </c>
      <c r="C26" s="320">
        <v>0</v>
      </c>
    </row>
    <row r="27" spans="1:11" ht="16.5" thickTop="1" thickBot="1" x14ac:dyDescent="0.3">
      <c r="A27" s="317" t="s">
        <v>347</v>
      </c>
      <c r="B27" s="64">
        <v>0</v>
      </c>
      <c r="C27" s="320">
        <v>0</v>
      </c>
    </row>
    <row r="28" spans="1:11" ht="16.5" thickTop="1" thickBot="1" x14ac:dyDescent="0.3">
      <c r="A28" s="125" t="s">
        <v>348</v>
      </c>
      <c r="B28" s="64">
        <v>4</v>
      </c>
      <c r="C28" s="126">
        <v>4</v>
      </c>
    </row>
    <row r="29" spans="1:11" ht="15.75" thickTop="1" x14ac:dyDescent="0.25">
      <c r="A29" s="55"/>
      <c r="B29" s="55"/>
      <c r="C29" s="55"/>
    </row>
    <row r="30" spans="1:11" ht="15.75" thickBot="1" x14ac:dyDescent="0.3">
      <c r="A30" s="55"/>
      <c r="B30" s="55"/>
    </row>
    <row r="31" spans="1:11" ht="28.5" customHeight="1" thickTop="1" x14ac:dyDescent="0.25">
      <c r="A31" s="56" t="s">
        <v>349</v>
      </c>
      <c r="B31" s="65"/>
      <c r="C31" s="66"/>
      <c r="D31" s="66"/>
      <c r="E31" s="66"/>
      <c r="F31" s="67"/>
    </row>
    <row r="32" spans="1:11" x14ac:dyDescent="0.25">
      <c r="A32" s="693"/>
      <c r="B32" s="691" t="s">
        <v>350</v>
      </c>
      <c r="C32" s="691" t="s">
        <v>351</v>
      </c>
      <c r="D32" s="691" t="s">
        <v>352</v>
      </c>
      <c r="E32" s="691" t="s">
        <v>353</v>
      </c>
      <c r="F32" s="692" t="s">
        <v>354</v>
      </c>
    </row>
    <row r="33" spans="1:10" x14ac:dyDescent="0.25">
      <c r="A33" s="693"/>
      <c r="B33" s="694"/>
      <c r="C33" s="691"/>
      <c r="D33" s="691"/>
      <c r="E33" s="691"/>
      <c r="F33" s="692"/>
    </row>
    <row r="34" spans="1:10" x14ac:dyDescent="0.25">
      <c r="A34" s="318" t="s">
        <v>355</v>
      </c>
      <c r="B34" s="117">
        <v>21</v>
      </c>
      <c r="C34" s="225">
        <v>19</v>
      </c>
      <c r="D34" s="226">
        <v>2</v>
      </c>
      <c r="E34" s="226"/>
      <c r="F34" s="319"/>
    </row>
    <row r="35" spans="1:10" x14ac:dyDescent="0.25">
      <c r="A35" s="318" t="s">
        <v>356</v>
      </c>
      <c r="B35" s="117">
        <v>3</v>
      </c>
      <c r="C35" s="225"/>
      <c r="D35" s="226">
        <v>3</v>
      </c>
      <c r="E35" s="226">
        <v>0</v>
      </c>
      <c r="F35" s="319">
        <v>0</v>
      </c>
    </row>
    <row r="36" spans="1:10" x14ac:dyDescent="0.25">
      <c r="A36" s="322" t="s">
        <v>357</v>
      </c>
      <c r="B36" s="225">
        <v>0</v>
      </c>
      <c r="C36" s="225">
        <v>0</v>
      </c>
      <c r="D36" s="226">
        <v>0</v>
      </c>
      <c r="E36" s="226">
        <v>0</v>
      </c>
      <c r="F36" s="319">
        <v>0</v>
      </c>
    </row>
    <row r="37" spans="1:10" x14ac:dyDescent="0.25">
      <c r="A37" s="322" t="s">
        <v>358</v>
      </c>
      <c r="B37" s="226">
        <v>0</v>
      </c>
      <c r="C37" s="225">
        <v>0</v>
      </c>
      <c r="D37" s="226">
        <v>0</v>
      </c>
      <c r="E37" s="226">
        <v>0</v>
      </c>
      <c r="F37" s="319">
        <v>0</v>
      </c>
    </row>
    <row r="38" spans="1:10" ht="15.75" thickBot="1" x14ac:dyDescent="0.3">
      <c r="A38" s="318" t="s">
        <v>359</v>
      </c>
      <c r="B38" s="226">
        <v>24</v>
      </c>
      <c r="C38" s="225">
        <v>19</v>
      </c>
      <c r="D38" s="226">
        <v>5</v>
      </c>
      <c r="E38" s="226">
        <v>0</v>
      </c>
      <c r="F38" s="319">
        <v>0</v>
      </c>
    </row>
    <row r="39" spans="1:10" ht="31.5" thickTop="1" thickBot="1" x14ac:dyDescent="0.3">
      <c r="A39" s="58" t="s">
        <v>360</v>
      </c>
      <c r="B39" s="64">
        <v>23</v>
      </c>
      <c r="C39" s="68">
        <v>18</v>
      </c>
      <c r="D39" s="69">
        <v>5</v>
      </c>
      <c r="E39" s="69">
        <v>0</v>
      </c>
      <c r="F39" s="70">
        <v>0</v>
      </c>
    </row>
    <row r="40" spans="1:10" ht="15.75" thickTop="1" x14ac:dyDescent="0.25">
      <c r="A40" s="55"/>
      <c r="B40" s="55"/>
      <c r="C40" s="55"/>
      <c r="D40" s="55"/>
      <c r="E40" s="55"/>
      <c r="F40" s="55"/>
    </row>
    <row r="41" spans="1:10" ht="15.75" thickBot="1" x14ac:dyDescent="0.3">
      <c r="A41" s="55"/>
      <c r="B41" s="55"/>
    </row>
    <row r="42" spans="1:10" ht="15.75" thickTop="1" x14ac:dyDescent="0.25">
      <c r="A42" s="56" t="s">
        <v>361</v>
      </c>
      <c r="B42" s="65"/>
      <c r="C42" s="66"/>
      <c r="D42" s="66"/>
      <c r="E42" s="66"/>
      <c r="F42" s="67"/>
      <c r="G42" s="50"/>
      <c r="H42" s="50"/>
      <c r="I42" s="50"/>
      <c r="J42" s="50"/>
    </row>
    <row r="43" spans="1:10" x14ac:dyDescent="0.25">
      <c r="A43" s="693"/>
      <c r="B43" s="691" t="s">
        <v>350</v>
      </c>
      <c r="C43" s="691" t="s">
        <v>351</v>
      </c>
      <c r="D43" s="691" t="s">
        <v>352</v>
      </c>
      <c r="E43" s="691" t="s">
        <v>353</v>
      </c>
      <c r="F43" s="692" t="s">
        <v>354</v>
      </c>
    </row>
    <row r="44" spans="1:10" ht="15.75" thickBot="1" x14ac:dyDescent="0.3">
      <c r="A44" s="693"/>
      <c r="B44" s="694"/>
      <c r="C44" s="691"/>
      <c r="D44" s="691"/>
      <c r="E44" s="691"/>
      <c r="F44" s="692"/>
    </row>
    <row r="45" spans="1:10" ht="16.5" thickTop="1" thickBot="1" x14ac:dyDescent="0.3">
      <c r="A45" s="317" t="s">
        <v>362</v>
      </c>
      <c r="B45" s="64">
        <v>20</v>
      </c>
      <c r="C45" s="225">
        <v>18</v>
      </c>
      <c r="D45" s="226">
        <v>2</v>
      </c>
      <c r="E45" s="226">
        <v>0</v>
      </c>
      <c r="F45" s="319">
        <v>0</v>
      </c>
    </row>
    <row r="46" spans="1:10" ht="31.5" thickTop="1" thickBot="1" x14ac:dyDescent="0.3">
      <c r="A46" s="58" t="s">
        <v>363</v>
      </c>
      <c r="B46" s="64">
        <v>19</v>
      </c>
      <c r="C46" s="68">
        <v>17</v>
      </c>
      <c r="D46" s="69">
        <v>2</v>
      </c>
      <c r="E46" s="69">
        <v>0</v>
      </c>
      <c r="F46" s="70">
        <v>0</v>
      </c>
    </row>
    <row r="47" spans="1:10" ht="15.75" thickTop="1" x14ac:dyDescent="0.25">
      <c r="A47" s="55"/>
      <c r="B47" s="55"/>
      <c r="C47" s="55"/>
      <c r="D47" s="55"/>
      <c r="E47" s="55"/>
      <c r="F47" s="55"/>
    </row>
    <row r="48" spans="1:10" x14ac:dyDescent="0.25">
      <c r="A48" s="55"/>
      <c r="B48" s="55"/>
      <c r="C48" s="55"/>
      <c r="D48" s="55"/>
      <c r="E48" s="55"/>
      <c r="F48" s="55"/>
    </row>
    <row r="49" spans="1:8" ht="15.75" thickBot="1" x14ac:dyDescent="0.3">
      <c r="A49" s="55"/>
      <c r="B49" s="55"/>
      <c r="C49" s="55"/>
      <c r="D49" s="55"/>
      <c r="E49" s="55"/>
      <c r="F49" s="55"/>
    </row>
    <row r="50" spans="1:8" ht="30.75" thickTop="1" x14ac:dyDescent="0.25">
      <c r="A50" s="56" t="s">
        <v>364</v>
      </c>
      <c r="B50" s="71"/>
      <c r="C50" s="72"/>
      <c r="D50" s="72"/>
      <c r="E50" s="72"/>
      <c r="F50" s="73"/>
    </row>
    <row r="51" spans="1:8" x14ac:dyDescent="0.25">
      <c r="A51" s="693"/>
      <c r="B51" s="691" t="s">
        <v>350</v>
      </c>
      <c r="C51" s="691" t="s">
        <v>351</v>
      </c>
      <c r="D51" s="691" t="s">
        <v>352</v>
      </c>
      <c r="E51" s="691" t="s">
        <v>353</v>
      </c>
      <c r="F51" s="692" t="s">
        <v>354</v>
      </c>
    </row>
    <row r="52" spans="1:8" ht="15.75" thickBot="1" x14ac:dyDescent="0.3">
      <c r="A52" s="693"/>
      <c r="B52" s="694"/>
      <c r="C52" s="691"/>
      <c r="D52" s="691"/>
      <c r="E52" s="691"/>
      <c r="F52" s="692"/>
    </row>
    <row r="53" spans="1:8" s="49" customFormat="1" ht="16.5" thickTop="1" thickBot="1" x14ac:dyDescent="0.3">
      <c r="A53" s="317" t="s">
        <v>365</v>
      </c>
      <c r="B53" s="64">
        <v>17</v>
      </c>
      <c r="C53" s="225">
        <v>16</v>
      </c>
      <c r="D53" s="226">
        <v>1</v>
      </c>
      <c r="E53" s="226">
        <v>0</v>
      </c>
      <c r="F53" s="319">
        <v>0</v>
      </c>
    </row>
    <row r="54" spans="1:8" s="49" customFormat="1" ht="16.5" thickTop="1" thickBot="1" x14ac:dyDescent="0.3">
      <c r="A54" s="317" t="s">
        <v>366</v>
      </c>
      <c r="B54" s="64">
        <v>15</v>
      </c>
      <c r="C54" s="225">
        <v>13</v>
      </c>
      <c r="D54" s="226">
        <v>2</v>
      </c>
      <c r="E54" s="226">
        <v>0</v>
      </c>
      <c r="F54" s="319">
        <v>0</v>
      </c>
    </row>
    <row r="55" spans="1:8" s="49" customFormat="1" ht="16.5" thickTop="1" thickBot="1" x14ac:dyDescent="0.3">
      <c r="A55" s="317" t="s">
        <v>367</v>
      </c>
      <c r="B55" s="64">
        <v>15</v>
      </c>
      <c r="C55" s="225">
        <v>13</v>
      </c>
      <c r="D55" s="226">
        <v>2</v>
      </c>
      <c r="E55" s="226">
        <v>0</v>
      </c>
      <c r="F55" s="319">
        <v>0</v>
      </c>
    </row>
    <row r="56" spans="1:8" s="49" customFormat="1" ht="16.5" thickTop="1" thickBot="1" x14ac:dyDescent="0.3">
      <c r="A56" s="125" t="s">
        <v>368</v>
      </c>
      <c r="B56" s="64">
        <v>5</v>
      </c>
      <c r="C56" s="123">
        <v>15</v>
      </c>
      <c r="D56" s="127">
        <v>0</v>
      </c>
      <c r="E56" s="127">
        <v>0</v>
      </c>
      <c r="F56" s="124">
        <v>0</v>
      </c>
    </row>
    <row r="57" spans="1:8" s="49" customFormat="1" ht="15.75" thickTop="1" x14ac:dyDescent="0.25">
      <c r="A57" s="55"/>
      <c r="B57" s="55"/>
      <c r="C57" s="55"/>
      <c r="D57" s="55"/>
      <c r="E57" s="55"/>
      <c r="F57" s="55"/>
    </row>
    <row r="58" spans="1:8" s="49" customFormat="1" ht="15.75" thickBot="1" x14ac:dyDescent="0.3">
      <c r="A58" s="50"/>
      <c r="B58" s="50"/>
      <c r="C58" s="50"/>
      <c r="D58" s="50"/>
      <c r="E58" s="50"/>
      <c r="F58" s="50"/>
      <c r="G58" s="50"/>
      <c r="H58" s="50"/>
    </row>
    <row r="59" spans="1:8" s="49" customFormat="1" ht="15.75" thickTop="1" x14ac:dyDescent="0.25">
      <c r="A59" s="56" t="s">
        <v>369</v>
      </c>
      <c r="B59" s="65"/>
      <c r="C59" s="66"/>
      <c r="D59" s="66"/>
      <c r="E59" s="66"/>
      <c r="F59" s="67"/>
      <c r="G59" s="50"/>
      <c r="H59" s="50"/>
    </row>
    <row r="60" spans="1:8" s="49" customFormat="1" x14ac:dyDescent="0.25">
      <c r="A60" s="693"/>
      <c r="B60" s="691" t="s">
        <v>350</v>
      </c>
      <c r="C60" s="691" t="s">
        <v>351</v>
      </c>
      <c r="D60" s="691" t="s">
        <v>352</v>
      </c>
      <c r="E60" s="691" t="s">
        <v>353</v>
      </c>
      <c r="F60" s="692" t="s">
        <v>354</v>
      </c>
      <c r="G60" s="50"/>
      <c r="H60" s="50"/>
    </row>
    <row r="61" spans="1:8" s="49" customFormat="1" x14ac:dyDescent="0.25">
      <c r="A61" s="693"/>
      <c r="B61" s="691"/>
      <c r="C61" s="691"/>
      <c r="D61" s="691"/>
      <c r="E61" s="691"/>
      <c r="F61" s="692"/>
      <c r="G61" s="50"/>
      <c r="H61" s="50"/>
    </row>
    <row r="62" spans="1:8" s="49" customFormat="1" x14ac:dyDescent="0.25">
      <c r="A62" s="323" t="s">
        <v>370</v>
      </c>
      <c r="B62" s="227">
        <v>1</v>
      </c>
      <c r="C62" s="227"/>
      <c r="D62" s="227">
        <v>1</v>
      </c>
      <c r="E62" s="226">
        <v>0</v>
      </c>
      <c r="F62" s="319">
        <v>0</v>
      </c>
      <c r="G62" s="50"/>
      <c r="H62" s="50"/>
    </row>
    <row r="63" spans="1:8" s="49" customFormat="1" x14ac:dyDescent="0.25">
      <c r="A63" s="324" t="s">
        <v>371</v>
      </c>
      <c r="B63" s="227">
        <v>2</v>
      </c>
      <c r="C63" s="227"/>
      <c r="D63" s="227">
        <v>2</v>
      </c>
      <c r="E63" s="226">
        <v>0</v>
      </c>
      <c r="F63" s="319">
        <v>0</v>
      </c>
      <c r="G63" s="50"/>
      <c r="H63" s="50"/>
    </row>
    <row r="64" spans="1:8" s="49" customFormat="1" ht="15.75" thickBot="1" x14ac:dyDescent="0.3">
      <c r="A64" s="324" t="s">
        <v>372</v>
      </c>
      <c r="B64" s="227">
        <v>0</v>
      </c>
      <c r="C64" s="227"/>
      <c r="D64" s="227">
        <v>0</v>
      </c>
      <c r="E64" s="226">
        <v>0</v>
      </c>
      <c r="F64" s="319">
        <v>0</v>
      </c>
      <c r="G64" s="50"/>
      <c r="H64" s="50"/>
    </row>
    <row r="65" spans="1:8" s="49" customFormat="1" ht="16.5" thickTop="1" thickBot="1" x14ac:dyDescent="0.3">
      <c r="A65" s="324" t="s">
        <v>373</v>
      </c>
      <c r="B65" s="64">
        <v>1</v>
      </c>
      <c r="C65" s="227">
        <v>1</v>
      </c>
      <c r="D65" s="227">
        <v>0</v>
      </c>
      <c r="E65" s="226">
        <v>0</v>
      </c>
      <c r="F65" s="319">
        <v>0</v>
      </c>
      <c r="G65" s="50"/>
      <c r="H65" s="50"/>
    </row>
    <row r="66" spans="1:8" s="49" customFormat="1" ht="15.75" thickTop="1" x14ac:dyDescent="0.25">
      <c r="A66" s="324" t="s">
        <v>374</v>
      </c>
      <c r="B66" s="227">
        <v>4</v>
      </c>
      <c r="C66" s="227">
        <v>3</v>
      </c>
      <c r="D66" s="227">
        <v>1</v>
      </c>
      <c r="E66" s="226">
        <v>0</v>
      </c>
      <c r="F66" s="319">
        <v>0</v>
      </c>
      <c r="G66" s="50"/>
      <c r="H66" s="50"/>
    </row>
    <row r="67" spans="1:8" s="49" customFormat="1" x14ac:dyDescent="0.25">
      <c r="A67" s="324" t="s">
        <v>375</v>
      </c>
      <c r="B67" s="227">
        <v>7</v>
      </c>
      <c r="C67" s="227">
        <v>6</v>
      </c>
      <c r="D67" s="227">
        <v>1</v>
      </c>
      <c r="E67" s="226">
        <v>0</v>
      </c>
      <c r="F67" s="319">
        <v>0</v>
      </c>
      <c r="G67" s="50"/>
      <c r="H67" s="50"/>
    </row>
    <row r="68" spans="1:8" s="49" customFormat="1" ht="15.75" thickBot="1" x14ac:dyDescent="0.3">
      <c r="A68" s="324" t="s">
        <v>376</v>
      </c>
      <c r="B68" s="227">
        <v>4</v>
      </c>
      <c r="C68" s="227">
        <v>4</v>
      </c>
      <c r="D68" s="227">
        <v>0</v>
      </c>
      <c r="E68" s="226">
        <v>0</v>
      </c>
      <c r="F68" s="319">
        <v>0</v>
      </c>
      <c r="G68" s="50"/>
      <c r="H68" s="50"/>
    </row>
    <row r="69" spans="1:8" s="49" customFormat="1" ht="16.5" thickTop="1" thickBot="1" x14ac:dyDescent="0.3">
      <c r="A69" s="324" t="s">
        <v>377</v>
      </c>
      <c r="B69" s="64">
        <v>2</v>
      </c>
      <c r="C69" s="227">
        <v>2</v>
      </c>
      <c r="D69" s="227">
        <v>0</v>
      </c>
      <c r="E69" s="226">
        <v>0</v>
      </c>
      <c r="F69" s="319">
        <v>0</v>
      </c>
      <c r="G69" s="50"/>
      <c r="H69" s="50"/>
    </row>
    <row r="70" spans="1:8" s="49" customFormat="1" ht="16.5" thickTop="1" thickBot="1" x14ac:dyDescent="0.3">
      <c r="A70" s="324" t="s">
        <v>378</v>
      </c>
      <c r="B70" s="64">
        <v>3</v>
      </c>
      <c r="C70" s="227">
        <v>3</v>
      </c>
      <c r="D70" s="227">
        <v>0</v>
      </c>
      <c r="E70" s="226">
        <v>0</v>
      </c>
      <c r="F70" s="319">
        <v>0</v>
      </c>
      <c r="G70" s="50"/>
      <c r="H70" s="50"/>
    </row>
    <row r="71" spans="1:8" s="49" customFormat="1" ht="16.5" thickTop="1" thickBot="1" x14ac:dyDescent="0.3">
      <c r="A71" s="324" t="s">
        <v>357</v>
      </c>
      <c r="B71" s="64">
        <v>0</v>
      </c>
      <c r="C71" s="227">
        <v>0</v>
      </c>
      <c r="D71" s="227">
        <v>0</v>
      </c>
      <c r="E71" s="226">
        <v>0</v>
      </c>
      <c r="F71" s="319">
        <v>0</v>
      </c>
      <c r="G71" s="50"/>
      <c r="H71" s="50"/>
    </row>
    <row r="72" spans="1:8" s="49" customFormat="1" ht="15.75" thickTop="1" x14ac:dyDescent="0.25">
      <c r="A72" s="324" t="s">
        <v>358</v>
      </c>
      <c r="B72" s="227">
        <v>0</v>
      </c>
      <c r="C72" s="227">
        <v>0</v>
      </c>
      <c r="D72" s="227">
        <v>0</v>
      </c>
      <c r="E72" s="226">
        <v>0</v>
      </c>
      <c r="F72" s="319">
        <v>0</v>
      </c>
      <c r="G72" s="50"/>
      <c r="H72" s="50"/>
    </row>
    <row r="73" spans="1:8" s="49" customFormat="1" ht="15.75" thickBot="1" x14ac:dyDescent="0.3">
      <c r="A73" s="128" t="s">
        <v>350</v>
      </c>
      <c r="B73" s="129">
        <v>24</v>
      </c>
      <c r="C73" s="129">
        <v>19</v>
      </c>
      <c r="D73" s="129">
        <v>5</v>
      </c>
      <c r="E73" s="127">
        <v>0</v>
      </c>
      <c r="F73" s="124">
        <v>0</v>
      </c>
      <c r="G73" s="50"/>
      <c r="H73" s="50"/>
    </row>
    <row r="74" spans="1:8" s="49" customFormat="1" ht="15.75" thickTop="1" x14ac:dyDescent="0.25">
      <c r="A74" s="81"/>
      <c r="B74" s="82"/>
      <c r="C74" s="82"/>
      <c r="D74" s="82"/>
      <c r="E74" s="82"/>
      <c r="F74" s="82"/>
      <c r="G74" s="50"/>
      <c r="H74" s="50"/>
    </row>
    <row r="75" spans="1:8" s="49" customFormat="1" ht="15.75" thickBot="1" x14ac:dyDescent="0.3">
      <c r="A75" s="81"/>
      <c r="B75" s="82"/>
      <c r="C75" s="82"/>
      <c r="D75" s="82"/>
      <c r="E75" s="82"/>
      <c r="F75" s="82"/>
      <c r="G75" s="50"/>
      <c r="H75" s="50"/>
    </row>
    <row r="76" spans="1:8" s="49" customFormat="1" ht="15.75" thickTop="1" x14ac:dyDescent="0.25">
      <c r="A76" s="56" t="s">
        <v>379</v>
      </c>
      <c r="B76" s="65"/>
      <c r="C76" s="66"/>
      <c r="D76" s="66"/>
      <c r="E76" s="66"/>
      <c r="F76" s="66"/>
      <c r="G76" s="67"/>
      <c r="H76" s="50"/>
    </row>
    <row r="77" spans="1:8" s="49" customFormat="1" x14ac:dyDescent="0.25">
      <c r="A77" s="693"/>
      <c r="B77" s="691" t="s">
        <v>380</v>
      </c>
      <c r="C77" s="691" t="s">
        <v>351</v>
      </c>
      <c r="D77" s="691" t="s">
        <v>381</v>
      </c>
      <c r="E77" s="691" t="s">
        <v>382</v>
      </c>
      <c r="F77" s="691" t="s">
        <v>353</v>
      </c>
      <c r="G77" s="692" t="s">
        <v>354</v>
      </c>
      <c r="H77" s="50"/>
    </row>
    <row r="78" spans="1:8" s="49" customFormat="1" ht="30" customHeight="1" x14ac:dyDescent="0.25">
      <c r="A78" s="693"/>
      <c r="B78" s="691"/>
      <c r="C78" s="691"/>
      <c r="D78" s="691"/>
      <c r="E78" s="691"/>
      <c r="F78" s="691"/>
      <c r="G78" s="692"/>
      <c r="H78" s="50"/>
    </row>
    <row r="79" spans="1:8" s="49" customFormat="1" ht="16.5" customHeight="1" x14ac:dyDescent="0.25">
      <c r="A79" s="323" t="s">
        <v>383</v>
      </c>
      <c r="B79" s="227">
        <v>2</v>
      </c>
      <c r="C79" s="227">
        <v>0</v>
      </c>
      <c r="D79" s="227">
        <v>0</v>
      </c>
      <c r="E79" s="227">
        <v>2</v>
      </c>
      <c r="F79" s="227">
        <v>0</v>
      </c>
      <c r="G79" s="325">
        <v>0</v>
      </c>
      <c r="H79" s="50"/>
    </row>
    <row r="80" spans="1:8" s="49" customFormat="1" ht="15.75" thickBot="1" x14ac:dyDescent="0.3">
      <c r="A80" s="323" t="s">
        <v>384</v>
      </c>
      <c r="B80" s="227">
        <v>8</v>
      </c>
      <c r="C80" s="227">
        <v>5</v>
      </c>
      <c r="D80" s="227">
        <v>2</v>
      </c>
      <c r="E80" s="227">
        <v>1</v>
      </c>
      <c r="F80" s="227">
        <v>0</v>
      </c>
      <c r="G80" s="325">
        <v>0</v>
      </c>
      <c r="H80" s="50"/>
    </row>
    <row r="81" spans="1:10" s="49" customFormat="1" ht="16.5" thickTop="1" thickBot="1" x14ac:dyDescent="0.3">
      <c r="A81" s="324" t="s">
        <v>385</v>
      </c>
      <c r="B81" s="227">
        <v>10</v>
      </c>
      <c r="C81" s="64">
        <v>10</v>
      </c>
      <c r="D81" s="64">
        <v>0</v>
      </c>
      <c r="E81" s="227">
        <v>0</v>
      </c>
      <c r="F81" s="227">
        <v>0</v>
      </c>
      <c r="G81" s="325">
        <v>0</v>
      </c>
      <c r="H81" s="50"/>
    </row>
    <row r="82" spans="1:10" s="49" customFormat="1" ht="16.5" thickTop="1" thickBot="1" x14ac:dyDescent="0.3">
      <c r="A82" s="324" t="s">
        <v>386</v>
      </c>
      <c r="B82" s="227">
        <v>4</v>
      </c>
      <c r="C82" s="64">
        <v>4</v>
      </c>
      <c r="D82" s="64">
        <v>0</v>
      </c>
      <c r="E82" s="227">
        <v>0</v>
      </c>
      <c r="F82" s="227">
        <v>0</v>
      </c>
      <c r="G82" s="325">
        <v>0</v>
      </c>
      <c r="H82" s="50"/>
    </row>
    <row r="83" spans="1:10" s="49" customFormat="1" ht="16.5" thickTop="1" thickBot="1" x14ac:dyDescent="0.3">
      <c r="A83" s="324" t="s">
        <v>387</v>
      </c>
      <c r="B83" s="227">
        <v>0</v>
      </c>
      <c r="C83" s="227">
        <v>0</v>
      </c>
      <c r="D83" s="227">
        <v>0</v>
      </c>
      <c r="E83" s="227">
        <v>0</v>
      </c>
      <c r="F83" s="227">
        <v>0</v>
      </c>
      <c r="G83" s="325">
        <v>0</v>
      </c>
      <c r="H83" s="50"/>
    </row>
    <row r="84" spans="1:10" s="49" customFormat="1" ht="16.5" thickTop="1" thickBot="1" x14ac:dyDescent="0.3">
      <c r="A84" s="324" t="s">
        <v>388</v>
      </c>
      <c r="B84" s="227">
        <v>0</v>
      </c>
      <c r="C84" s="64">
        <v>0</v>
      </c>
      <c r="D84" s="64">
        <v>0</v>
      </c>
      <c r="E84" s="227">
        <v>0</v>
      </c>
      <c r="F84" s="227">
        <v>0</v>
      </c>
      <c r="G84" s="325">
        <v>0</v>
      </c>
      <c r="H84" s="50"/>
    </row>
    <row r="85" spans="1:10" s="49" customFormat="1" ht="16.5" thickTop="1" thickBot="1" x14ac:dyDescent="0.3">
      <c r="A85" s="324" t="s">
        <v>358</v>
      </c>
      <c r="B85" s="227">
        <v>0</v>
      </c>
      <c r="C85" s="227">
        <v>0</v>
      </c>
      <c r="D85" s="227">
        <v>0</v>
      </c>
      <c r="E85" s="227">
        <v>0</v>
      </c>
      <c r="F85" s="227">
        <v>0</v>
      </c>
      <c r="G85" s="325">
        <v>0</v>
      </c>
      <c r="H85" s="50"/>
    </row>
    <row r="86" spans="1:10" s="49" customFormat="1" ht="16.5" thickTop="1" thickBot="1" x14ac:dyDescent="0.3">
      <c r="A86" s="128" t="s">
        <v>350</v>
      </c>
      <c r="B86" s="129">
        <v>24</v>
      </c>
      <c r="C86" s="64">
        <v>19</v>
      </c>
      <c r="D86" s="64">
        <v>2</v>
      </c>
      <c r="E86" s="129">
        <v>3</v>
      </c>
      <c r="F86" s="129">
        <v>0</v>
      </c>
      <c r="G86" s="130">
        <v>0</v>
      </c>
      <c r="H86" s="50"/>
    </row>
    <row r="87" spans="1:10" s="49" customFormat="1" ht="15.75" thickTop="1" x14ac:dyDescent="0.25">
      <c r="A87" s="81"/>
      <c r="B87" s="82"/>
      <c r="C87" s="82"/>
      <c r="D87" s="82"/>
      <c r="E87" s="82"/>
      <c r="F87" s="82"/>
      <c r="G87" s="50"/>
      <c r="H87" s="50"/>
    </row>
    <row r="88" spans="1:10" ht="15.75" thickBot="1" x14ac:dyDescent="0.3">
      <c r="A88" s="55"/>
      <c r="B88" s="55"/>
      <c r="C88" s="55"/>
      <c r="D88" s="55"/>
      <c r="E88" s="55"/>
      <c r="F88" s="55"/>
      <c r="G88" s="55"/>
      <c r="H88" s="55"/>
    </row>
    <row r="89" spans="1:10" ht="29.45" customHeight="1" thickTop="1" x14ac:dyDescent="0.25">
      <c r="A89" s="56" t="s">
        <v>389</v>
      </c>
      <c r="B89" s="74"/>
      <c r="C89" s="74"/>
      <c r="D89" s="74"/>
      <c r="E89" s="74"/>
      <c r="F89" s="75"/>
      <c r="G89" s="55"/>
      <c r="H89" s="55"/>
    </row>
    <row r="90" spans="1:10" ht="23.1" customHeight="1" x14ac:dyDescent="0.25">
      <c r="A90" s="321" t="s">
        <v>390</v>
      </c>
      <c r="B90" s="228"/>
      <c r="C90" s="228"/>
      <c r="D90" s="228"/>
      <c r="E90" s="228"/>
      <c r="F90" s="326"/>
      <c r="G90" s="55"/>
      <c r="H90" s="55"/>
    </row>
    <row r="91" spans="1:10" ht="34.5" customHeight="1" thickBot="1" x14ac:dyDescent="0.3">
      <c r="A91" s="327"/>
      <c r="B91" s="229" t="s">
        <v>350</v>
      </c>
      <c r="C91" s="229" t="s">
        <v>351</v>
      </c>
      <c r="D91" s="229" t="s">
        <v>352</v>
      </c>
      <c r="E91" s="229" t="s">
        <v>353</v>
      </c>
      <c r="F91" s="328" t="s">
        <v>354</v>
      </c>
      <c r="I91" s="50"/>
      <c r="J91" s="50"/>
    </row>
    <row r="92" spans="1:10" ht="15" customHeight="1" thickTop="1" thickBot="1" x14ac:dyDescent="0.3">
      <c r="A92" s="318" t="s">
        <v>318</v>
      </c>
      <c r="B92" s="83">
        <v>1</v>
      </c>
      <c r="C92" s="230">
        <v>0</v>
      </c>
      <c r="D92" s="230">
        <v>1</v>
      </c>
      <c r="E92" s="230">
        <v>0</v>
      </c>
      <c r="F92" s="329">
        <v>0</v>
      </c>
      <c r="I92" s="50"/>
      <c r="J92" s="50"/>
    </row>
    <row r="93" spans="1:10" ht="16.5" thickTop="1" thickBot="1" x14ac:dyDescent="0.3">
      <c r="A93" s="318" t="s">
        <v>316</v>
      </c>
      <c r="B93" s="230">
        <v>20</v>
      </c>
      <c r="C93" s="230">
        <v>19</v>
      </c>
      <c r="D93" s="230">
        <v>1</v>
      </c>
      <c r="E93" s="230">
        <v>0</v>
      </c>
      <c r="F93" s="329">
        <v>0</v>
      </c>
      <c r="I93" s="50"/>
      <c r="J93" s="50"/>
    </row>
    <row r="94" spans="1:10" ht="16.5" thickTop="1" thickBot="1" x14ac:dyDescent="0.3">
      <c r="A94" s="318" t="s">
        <v>391</v>
      </c>
      <c r="B94" s="83">
        <v>0</v>
      </c>
      <c r="C94" s="230">
        <v>0</v>
      </c>
      <c r="D94" s="230">
        <v>0</v>
      </c>
      <c r="E94" s="230">
        <v>0</v>
      </c>
      <c r="F94" s="329">
        <v>0</v>
      </c>
      <c r="I94" s="50"/>
      <c r="J94" s="50"/>
    </row>
    <row r="95" spans="1:10" ht="16.5" thickTop="1" thickBot="1" x14ac:dyDescent="0.3">
      <c r="A95" s="318" t="s">
        <v>358</v>
      </c>
      <c r="B95" s="230">
        <v>0</v>
      </c>
      <c r="C95" s="230">
        <v>0</v>
      </c>
      <c r="D95" s="230">
        <v>0</v>
      </c>
      <c r="E95" s="230">
        <v>0</v>
      </c>
      <c r="F95" s="329">
        <v>0</v>
      </c>
      <c r="I95" s="50"/>
      <c r="J95" s="50"/>
    </row>
    <row r="96" spans="1:10" ht="16.5" thickTop="1" thickBot="1" x14ac:dyDescent="0.3">
      <c r="A96" s="122" t="s">
        <v>350</v>
      </c>
      <c r="B96" s="83">
        <v>21</v>
      </c>
      <c r="C96" s="131">
        <v>19</v>
      </c>
      <c r="D96" s="131">
        <v>2</v>
      </c>
      <c r="E96" s="131">
        <v>0</v>
      </c>
      <c r="F96" s="132">
        <v>0</v>
      </c>
      <c r="I96" s="50"/>
      <c r="J96" s="50"/>
    </row>
    <row r="97" spans="1:10" ht="15.75" thickTop="1" x14ac:dyDescent="0.25">
      <c r="A97" s="55"/>
      <c r="B97" s="55"/>
      <c r="C97" s="55"/>
      <c r="D97" s="55"/>
      <c r="E97" s="55"/>
      <c r="F97" s="55"/>
      <c r="I97" s="50"/>
      <c r="J97" s="50"/>
    </row>
    <row r="98" spans="1:10" ht="15.75" thickBot="1" x14ac:dyDescent="0.3">
      <c r="A98" s="55"/>
      <c r="B98" s="55"/>
      <c r="C98" s="55"/>
      <c r="D98" s="55"/>
      <c r="E98" s="55"/>
      <c r="F98" s="55"/>
      <c r="G98" s="55"/>
      <c r="H98" s="55"/>
    </row>
    <row r="99" spans="1:10" ht="29.45" customHeight="1" thickTop="1" x14ac:dyDescent="0.25">
      <c r="A99" s="56" t="s">
        <v>392</v>
      </c>
      <c r="B99" s="71"/>
      <c r="C99" s="72"/>
      <c r="D99" s="72"/>
      <c r="E99" s="72"/>
      <c r="F99" s="73"/>
    </row>
    <row r="100" spans="1:10" x14ac:dyDescent="0.25">
      <c r="A100" s="693"/>
      <c r="B100" s="691" t="s">
        <v>350</v>
      </c>
      <c r="C100" s="691" t="s">
        <v>351</v>
      </c>
      <c r="D100" s="691" t="s">
        <v>352</v>
      </c>
      <c r="E100" s="691" t="s">
        <v>353</v>
      </c>
      <c r="F100" s="692" t="s">
        <v>354</v>
      </c>
    </row>
    <row r="101" spans="1:10" s="49" customFormat="1" x14ac:dyDescent="0.25">
      <c r="A101" s="693"/>
      <c r="B101" s="691"/>
      <c r="C101" s="691"/>
      <c r="D101" s="691"/>
      <c r="E101" s="691"/>
      <c r="F101" s="692"/>
    </row>
    <row r="102" spans="1:10" s="49" customFormat="1" ht="15.75" thickBot="1" x14ac:dyDescent="0.3">
      <c r="A102" s="697" t="s">
        <v>393</v>
      </c>
      <c r="B102" s="698"/>
      <c r="C102" s="698"/>
      <c r="D102" s="698"/>
      <c r="E102" s="698"/>
      <c r="F102" s="699"/>
    </row>
    <row r="103" spans="1:10" s="49" customFormat="1" ht="16.5" thickTop="1" thickBot="1" x14ac:dyDescent="0.3">
      <c r="A103" s="318" t="s">
        <v>394</v>
      </c>
      <c r="B103" s="83">
        <v>1</v>
      </c>
      <c r="C103" s="226">
        <v>1</v>
      </c>
      <c r="D103" s="226">
        <v>0</v>
      </c>
      <c r="E103" s="226">
        <v>0</v>
      </c>
      <c r="F103" s="319">
        <v>0</v>
      </c>
    </row>
    <row r="104" spans="1:10" s="49" customFormat="1" ht="30.75" thickTop="1" x14ac:dyDescent="0.25">
      <c r="A104" s="317" t="s">
        <v>395</v>
      </c>
      <c r="B104" s="97">
        <v>15</v>
      </c>
      <c r="C104" s="225">
        <v>13</v>
      </c>
      <c r="D104" s="226">
        <v>2</v>
      </c>
      <c r="E104" s="226">
        <v>0</v>
      </c>
      <c r="F104" s="319">
        <v>0</v>
      </c>
    </row>
    <row r="105" spans="1:10" s="49" customFormat="1" ht="15.75" thickBot="1" x14ac:dyDescent="0.3">
      <c r="A105" s="317" t="s">
        <v>396</v>
      </c>
      <c r="B105" s="99">
        <v>0</v>
      </c>
      <c r="C105" s="225">
        <v>0</v>
      </c>
      <c r="D105" s="226">
        <v>0</v>
      </c>
      <c r="E105" s="226">
        <v>0</v>
      </c>
      <c r="F105" s="319">
        <v>0</v>
      </c>
    </row>
    <row r="106" spans="1:10" s="49" customFormat="1" ht="16.5" thickTop="1" thickBot="1" x14ac:dyDescent="0.3">
      <c r="A106" s="330" t="s">
        <v>397</v>
      </c>
      <c r="B106" s="83">
        <v>16</v>
      </c>
      <c r="C106" s="231">
        <v>14</v>
      </c>
      <c r="D106" s="232">
        <v>2</v>
      </c>
      <c r="E106" s="232">
        <v>0</v>
      </c>
      <c r="F106" s="331">
        <v>0</v>
      </c>
    </row>
    <row r="107" spans="1:10" s="49" customFormat="1" ht="15.75" thickTop="1" x14ac:dyDescent="0.25">
      <c r="A107" s="697" t="s">
        <v>398</v>
      </c>
      <c r="B107" s="700"/>
      <c r="C107" s="698"/>
      <c r="D107" s="698"/>
      <c r="E107" s="698"/>
      <c r="F107" s="699"/>
    </row>
    <row r="108" spans="1:10" s="49" customFormat="1" x14ac:dyDescent="0.25">
      <c r="A108" s="318" t="s">
        <v>399</v>
      </c>
      <c r="B108" s="118">
        <v>0</v>
      </c>
      <c r="C108" s="118">
        <v>0</v>
      </c>
      <c r="D108" s="118">
        <v>0</v>
      </c>
      <c r="E108" s="118">
        <v>0</v>
      </c>
      <c r="F108" s="108">
        <v>0</v>
      </c>
    </row>
    <row r="109" spans="1:10" s="49" customFormat="1" ht="15" customHeight="1" x14ac:dyDescent="0.25">
      <c r="A109" s="318" t="s">
        <v>400</v>
      </c>
      <c r="B109" s="118">
        <v>0</v>
      </c>
      <c r="C109" s="118">
        <v>0</v>
      </c>
      <c r="D109" s="118">
        <v>0</v>
      </c>
      <c r="E109" s="118">
        <v>0</v>
      </c>
      <c r="F109" s="108">
        <v>0</v>
      </c>
    </row>
    <row r="110" spans="1:10" s="49" customFormat="1" x14ac:dyDescent="0.25">
      <c r="A110" s="318" t="s">
        <v>401</v>
      </c>
      <c r="B110" s="118">
        <v>0</v>
      </c>
      <c r="C110" s="118">
        <v>0</v>
      </c>
      <c r="D110" s="118">
        <v>0</v>
      </c>
      <c r="E110" s="118">
        <v>0</v>
      </c>
      <c r="F110" s="108">
        <v>0</v>
      </c>
    </row>
    <row r="111" spans="1:10" s="49" customFormat="1" x14ac:dyDescent="0.25">
      <c r="A111" s="318" t="s">
        <v>402</v>
      </c>
      <c r="B111" s="118">
        <v>0</v>
      </c>
      <c r="C111" s="118">
        <v>0</v>
      </c>
      <c r="D111" s="118">
        <v>0</v>
      </c>
      <c r="E111" s="118">
        <v>0</v>
      </c>
      <c r="F111" s="108">
        <v>0</v>
      </c>
    </row>
    <row r="112" spans="1:10" s="49" customFormat="1" x14ac:dyDescent="0.25">
      <c r="A112" s="318" t="s">
        <v>403</v>
      </c>
      <c r="B112" s="118">
        <v>0</v>
      </c>
      <c r="C112" s="118">
        <v>0</v>
      </c>
      <c r="D112" s="118">
        <v>0</v>
      </c>
      <c r="E112" s="118">
        <v>0</v>
      </c>
      <c r="F112" s="108">
        <v>0</v>
      </c>
    </row>
    <row r="113" spans="1:6" s="49" customFormat="1" x14ac:dyDescent="0.25">
      <c r="A113" s="318" t="s">
        <v>404</v>
      </c>
      <c r="B113" s="118">
        <v>0</v>
      </c>
      <c r="C113" s="118">
        <v>0</v>
      </c>
      <c r="D113" s="118">
        <v>0</v>
      </c>
      <c r="E113" s="118">
        <v>0</v>
      </c>
      <c r="F113" s="108">
        <v>0</v>
      </c>
    </row>
    <row r="114" spans="1:6" s="49" customFormat="1" x14ac:dyDescent="0.25">
      <c r="A114" s="332" t="s">
        <v>397</v>
      </c>
      <c r="B114" s="119">
        <v>0</v>
      </c>
      <c r="C114" s="119">
        <v>0</v>
      </c>
      <c r="D114" s="119">
        <v>0</v>
      </c>
      <c r="E114" s="119">
        <v>0</v>
      </c>
      <c r="F114" s="109">
        <v>0</v>
      </c>
    </row>
    <row r="115" spans="1:6" s="49" customFormat="1" x14ac:dyDescent="0.25">
      <c r="A115" s="697" t="s">
        <v>405</v>
      </c>
      <c r="B115" s="698"/>
      <c r="C115" s="698"/>
      <c r="D115" s="698"/>
      <c r="E115" s="698"/>
      <c r="F115" s="699"/>
    </row>
    <row r="116" spans="1:6" s="49" customFormat="1" ht="42" customHeight="1" x14ac:dyDescent="0.25">
      <c r="A116" s="318" t="s">
        <v>406</v>
      </c>
      <c r="B116" s="118">
        <v>5</v>
      </c>
      <c r="C116" s="226">
        <v>5</v>
      </c>
      <c r="D116" s="226">
        <v>0</v>
      </c>
      <c r="E116" s="226">
        <v>0</v>
      </c>
      <c r="F116" s="319">
        <v>0</v>
      </c>
    </row>
    <row r="117" spans="1:6" s="49" customFormat="1" ht="31.5" customHeight="1" x14ac:dyDescent="0.25">
      <c r="A117" s="318" t="s">
        <v>407</v>
      </c>
      <c r="B117" s="118">
        <v>0</v>
      </c>
      <c r="C117" s="118">
        <v>0</v>
      </c>
      <c r="D117" s="118">
        <v>0</v>
      </c>
      <c r="E117" s="118">
        <v>0</v>
      </c>
      <c r="F117" s="108">
        <v>0</v>
      </c>
    </row>
    <row r="118" spans="1:6" s="49" customFormat="1" ht="30" x14ac:dyDescent="0.25">
      <c r="A118" s="318" t="s">
        <v>408</v>
      </c>
      <c r="B118" s="118">
        <v>0</v>
      </c>
      <c r="C118" s="118">
        <v>0</v>
      </c>
      <c r="D118" s="118">
        <v>0</v>
      </c>
      <c r="E118" s="118">
        <v>0</v>
      </c>
      <c r="F118" s="108">
        <v>0</v>
      </c>
    </row>
    <row r="119" spans="1:6" s="49" customFormat="1" ht="27" customHeight="1" x14ac:dyDescent="0.25">
      <c r="A119" s="318" t="s">
        <v>409</v>
      </c>
      <c r="B119" s="118">
        <v>0</v>
      </c>
      <c r="C119" s="118">
        <v>0</v>
      </c>
      <c r="D119" s="118">
        <v>0</v>
      </c>
      <c r="E119" s="118">
        <v>0</v>
      </c>
      <c r="F119" s="108">
        <v>0</v>
      </c>
    </row>
    <row r="120" spans="1:6" s="49" customFormat="1" ht="28.5" customHeight="1" x14ac:dyDescent="0.25">
      <c r="A120" s="318" t="s">
        <v>410</v>
      </c>
      <c r="B120" s="118">
        <v>0</v>
      </c>
      <c r="C120" s="118">
        <v>0</v>
      </c>
      <c r="D120" s="118">
        <v>0</v>
      </c>
      <c r="E120" s="118">
        <v>0</v>
      </c>
      <c r="F120" s="108">
        <v>0</v>
      </c>
    </row>
    <row r="121" spans="1:6" s="49" customFormat="1" ht="30" x14ac:dyDescent="0.25">
      <c r="A121" s="318" t="s">
        <v>411</v>
      </c>
      <c r="B121" s="118">
        <v>0</v>
      </c>
      <c r="C121" s="118">
        <v>0</v>
      </c>
      <c r="D121" s="118">
        <v>0</v>
      </c>
      <c r="E121" s="118">
        <v>0</v>
      </c>
      <c r="F121" s="108">
        <v>0</v>
      </c>
    </row>
    <row r="122" spans="1:6" s="49" customFormat="1" ht="18.75" customHeight="1" x14ac:dyDescent="0.25">
      <c r="A122" s="332" t="s">
        <v>397</v>
      </c>
      <c r="B122" s="119">
        <v>5</v>
      </c>
      <c r="C122" s="232">
        <v>5</v>
      </c>
      <c r="D122" s="232">
        <v>0</v>
      </c>
      <c r="E122" s="232">
        <v>0</v>
      </c>
      <c r="F122" s="331">
        <v>0</v>
      </c>
    </row>
    <row r="123" spans="1:6" s="49" customFormat="1" x14ac:dyDescent="0.25">
      <c r="A123" s="697" t="s">
        <v>412</v>
      </c>
      <c r="B123" s="698"/>
      <c r="C123" s="698"/>
      <c r="D123" s="698"/>
      <c r="E123" s="698"/>
      <c r="F123" s="699"/>
    </row>
    <row r="124" spans="1:6" s="49" customFormat="1" x14ac:dyDescent="0.25">
      <c r="A124" s="317" t="s">
        <v>413</v>
      </c>
      <c r="B124" s="93">
        <v>0</v>
      </c>
      <c r="C124" s="94">
        <v>0</v>
      </c>
      <c r="D124" s="118">
        <v>0</v>
      </c>
      <c r="E124" s="118">
        <v>0</v>
      </c>
      <c r="F124" s="108">
        <v>0</v>
      </c>
    </row>
    <row r="125" spans="1:6" s="49" customFormat="1" x14ac:dyDescent="0.25">
      <c r="A125" s="317" t="s">
        <v>414</v>
      </c>
      <c r="B125" s="93">
        <v>0</v>
      </c>
      <c r="C125" s="94">
        <v>0</v>
      </c>
      <c r="D125" s="118">
        <v>0</v>
      </c>
      <c r="E125" s="118">
        <v>0</v>
      </c>
      <c r="F125" s="108">
        <v>0</v>
      </c>
    </row>
    <row r="126" spans="1:6" s="49" customFormat="1" x14ac:dyDescent="0.25">
      <c r="A126" s="317" t="s">
        <v>415</v>
      </c>
      <c r="B126" s="93">
        <v>0</v>
      </c>
      <c r="C126" s="94">
        <v>0</v>
      </c>
      <c r="D126" s="118">
        <v>0</v>
      </c>
      <c r="E126" s="118">
        <v>0</v>
      </c>
      <c r="F126" s="108">
        <v>0</v>
      </c>
    </row>
    <row r="127" spans="1:6" s="49" customFormat="1" x14ac:dyDescent="0.25">
      <c r="A127" s="317" t="s">
        <v>416</v>
      </c>
      <c r="B127" s="93">
        <v>0</v>
      </c>
      <c r="C127" s="94">
        <v>0</v>
      </c>
      <c r="D127" s="118">
        <v>0</v>
      </c>
      <c r="E127" s="118">
        <v>0</v>
      </c>
      <c r="F127" s="108">
        <v>0</v>
      </c>
    </row>
    <row r="128" spans="1:6" s="49" customFormat="1" x14ac:dyDescent="0.25">
      <c r="A128" s="330" t="s">
        <v>397</v>
      </c>
      <c r="B128" s="100">
        <v>0</v>
      </c>
      <c r="C128" s="96">
        <v>0</v>
      </c>
      <c r="D128" s="119">
        <v>0</v>
      </c>
      <c r="E128" s="119">
        <v>0</v>
      </c>
      <c r="F128" s="109">
        <v>0</v>
      </c>
    </row>
    <row r="129" spans="1:6" s="49" customFormat="1" x14ac:dyDescent="0.25">
      <c r="A129" s="317" t="s">
        <v>417</v>
      </c>
      <c r="B129" s="98"/>
      <c r="C129" s="94"/>
      <c r="D129" s="118"/>
      <c r="E129" s="118"/>
      <c r="F129" s="108"/>
    </row>
    <row r="130" spans="1:6" s="49" customFormat="1" ht="15.75" thickBot="1" x14ac:dyDescent="0.3">
      <c r="A130" s="317" t="s">
        <v>358</v>
      </c>
      <c r="B130" s="101"/>
      <c r="C130" s="94">
        <v>0</v>
      </c>
      <c r="D130" s="118">
        <v>0</v>
      </c>
      <c r="E130" s="118">
        <v>0</v>
      </c>
      <c r="F130" s="108">
        <v>0</v>
      </c>
    </row>
    <row r="131" spans="1:6" s="49" customFormat="1" ht="16.5" thickTop="1" thickBot="1" x14ac:dyDescent="0.3">
      <c r="A131" s="330" t="s">
        <v>397</v>
      </c>
      <c r="B131" s="102">
        <v>0</v>
      </c>
      <c r="C131" s="96">
        <v>0</v>
      </c>
      <c r="D131" s="119">
        <v>0</v>
      </c>
      <c r="E131" s="119">
        <v>0</v>
      </c>
      <c r="F131" s="109">
        <v>0</v>
      </c>
    </row>
    <row r="132" spans="1:6" s="49" customFormat="1" ht="18" customHeight="1" thickTop="1" thickBot="1" x14ac:dyDescent="0.3">
      <c r="A132" s="133" t="s">
        <v>350</v>
      </c>
      <c r="B132" s="95">
        <v>21</v>
      </c>
      <c r="C132" s="134">
        <v>19</v>
      </c>
      <c r="D132" s="135">
        <v>2</v>
      </c>
      <c r="E132" s="135">
        <v>0</v>
      </c>
      <c r="F132" s="136">
        <v>0</v>
      </c>
    </row>
    <row r="133" spans="1:6" s="49" customFormat="1" ht="15.75" thickTop="1" x14ac:dyDescent="0.25">
      <c r="A133" s="55"/>
      <c r="B133" s="55"/>
      <c r="C133" s="55"/>
      <c r="D133" s="55"/>
      <c r="E133" s="55"/>
      <c r="F133" s="55"/>
    </row>
    <row r="134" spans="1:6" s="49" customFormat="1" ht="15.75" thickBot="1" x14ac:dyDescent="0.3">
      <c r="A134" s="59"/>
    </row>
    <row r="135" spans="1:6" s="49" customFormat="1" ht="30.75" thickTop="1" x14ac:dyDescent="0.25">
      <c r="A135" s="56" t="s">
        <v>418</v>
      </c>
      <c r="B135" s="71"/>
      <c r="C135" s="72"/>
      <c r="D135" s="73"/>
    </row>
    <row r="136" spans="1:6" x14ac:dyDescent="0.25">
      <c r="A136" s="693"/>
      <c r="B136" s="691" t="s">
        <v>419</v>
      </c>
      <c r="C136" s="691" t="s">
        <v>420</v>
      </c>
      <c r="D136" s="692" t="s">
        <v>421</v>
      </c>
    </row>
    <row r="137" spans="1:6" x14ac:dyDescent="0.25">
      <c r="A137" s="693"/>
      <c r="B137" s="691"/>
      <c r="C137" s="691"/>
      <c r="D137" s="692"/>
    </row>
    <row r="138" spans="1:6" ht="15.75" thickBot="1" x14ac:dyDescent="0.3">
      <c r="A138" s="693"/>
      <c r="B138" s="691"/>
      <c r="C138" s="694"/>
      <c r="D138" s="695"/>
    </row>
    <row r="139" spans="1:6" ht="31.5" thickTop="1" thickBot="1" x14ac:dyDescent="0.3">
      <c r="A139" s="318" t="s">
        <v>422</v>
      </c>
      <c r="B139" s="233">
        <v>11</v>
      </c>
      <c r="C139" s="64">
        <v>6</v>
      </c>
      <c r="D139" s="64">
        <v>2</v>
      </c>
    </row>
    <row r="140" spans="1:6" ht="16.5" thickTop="1" thickBot="1" x14ac:dyDescent="0.3">
      <c r="A140" s="318" t="s">
        <v>423</v>
      </c>
      <c r="B140" s="226">
        <v>7</v>
      </c>
      <c r="C140" s="105">
        <v>4</v>
      </c>
      <c r="D140" s="106">
        <v>4</v>
      </c>
    </row>
    <row r="141" spans="1:6" ht="16.5" thickTop="1" thickBot="1" x14ac:dyDescent="0.3">
      <c r="A141" s="318" t="s">
        <v>424</v>
      </c>
      <c r="B141" s="120">
        <v>1</v>
      </c>
      <c r="C141" s="64">
        <v>0</v>
      </c>
      <c r="D141" s="64">
        <v>0</v>
      </c>
    </row>
    <row r="142" spans="1:6" ht="16.5" thickTop="1" thickBot="1" x14ac:dyDescent="0.3">
      <c r="A142" s="317" t="s">
        <v>425</v>
      </c>
      <c r="B142" s="118">
        <v>2</v>
      </c>
      <c r="C142" s="105">
        <v>2</v>
      </c>
      <c r="D142" s="106">
        <v>0</v>
      </c>
    </row>
    <row r="143" spans="1:6" ht="31.5" thickTop="1" thickBot="1" x14ac:dyDescent="0.3">
      <c r="A143" s="317" t="s">
        <v>426</v>
      </c>
      <c r="B143" s="233">
        <v>0</v>
      </c>
      <c r="C143" s="64">
        <v>0</v>
      </c>
      <c r="D143" s="64">
        <v>0</v>
      </c>
    </row>
    <row r="144" spans="1:6" ht="16.5" thickTop="1" thickBot="1" x14ac:dyDescent="0.3">
      <c r="A144" s="317" t="s">
        <v>427</v>
      </c>
      <c r="B144" s="333">
        <v>0</v>
      </c>
      <c r="C144" s="105">
        <v>0</v>
      </c>
      <c r="D144" s="334">
        <v>0</v>
      </c>
    </row>
    <row r="145" spans="1:10" ht="31.5" thickTop="1" thickBot="1" x14ac:dyDescent="0.3">
      <c r="A145" s="317" t="s">
        <v>428</v>
      </c>
      <c r="B145" s="107"/>
      <c r="C145" s="64">
        <v>3</v>
      </c>
      <c r="D145" s="76"/>
    </row>
    <row r="146" spans="1:10" ht="31.5" thickTop="1" thickBot="1" x14ac:dyDescent="0.3">
      <c r="A146" s="317" t="s">
        <v>429</v>
      </c>
      <c r="B146" s="118"/>
      <c r="C146" s="105">
        <v>0</v>
      </c>
      <c r="D146" s="108"/>
    </row>
    <row r="147" spans="1:10" ht="16.5" thickTop="1" thickBot="1" x14ac:dyDescent="0.3">
      <c r="A147" s="317" t="s">
        <v>430</v>
      </c>
      <c r="B147" s="335">
        <v>21</v>
      </c>
      <c r="C147" s="64">
        <v>15</v>
      </c>
      <c r="D147" s="64">
        <v>6</v>
      </c>
    </row>
    <row r="148" spans="1:10" ht="16.5" thickTop="1" thickBot="1" x14ac:dyDescent="0.3">
      <c r="A148" s="318" t="s">
        <v>431</v>
      </c>
      <c r="B148" s="333">
        <v>19</v>
      </c>
      <c r="C148" s="64">
        <v>10</v>
      </c>
      <c r="D148" s="64">
        <v>6</v>
      </c>
    </row>
    <row r="149" spans="1:10" ht="31.5" thickTop="1" thickBot="1" x14ac:dyDescent="0.3">
      <c r="A149" s="122" t="s">
        <v>432</v>
      </c>
      <c r="B149" s="127"/>
      <c r="C149" s="127">
        <v>12</v>
      </c>
      <c r="D149" s="124">
        <v>6</v>
      </c>
    </row>
    <row r="150" spans="1:10" ht="15.75" thickTop="1" x14ac:dyDescent="0.25">
      <c r="A150" s="55"/>
      <c r="B150" s="55"/>
      <c r="C150" s="55"/>
      <c r="D150" s="55"/>
    </row>
    <row r="151" spans="1:10" ht="15.75" thickBot="1" x14ac:dyDescent="0.3">
      <c r="A151" s="55"/>
      <c r="B151" s="55"/>
      <c r="C151" s="55"/>
      <c r="D151" s="55"/>
    </row>
    <row r="152" spans="1:10" ht="30.75" thickTop="1" x14ac:dyDescent="0.25">
      <c r="A152" s="56" t="s">
        <v>433</v>
      </c>
      <c r="B152" s="71"/>
      <c r="C152" s="72"/>
      <c r="D152" s="72"/>
      <c r="E152" s="72"/>
      <c r="F152" s="72"/>
      <c r="G152" s="72"/>
      <c r="H152" s="72"/>
      <c r="I152" s="72"/>
      <c r="J152" s="73"/>
    </row>
    <row r="153" spans="1:10" x14ac:dyDescent="0.25">
      <c r="A153" s="693"/>
      <c r="B153" s="691" t="s">
        <v>434</v>
      </c>
      <c r="C153" s="691" t="s">
        <v>435</v>
      </c>
      <c r="D153" s="691" t="s">
        <v>436</v>
      </c>
      <c r="E153" s="691" t="s">
        <v>437</v>
      </c>
      <c r="F153" s="691" t="s">
        <v>438</v>
      </c>
      <c r="G153" s="691" t="s">
        <v>439</v>
      </c>
      <c r="H153" s="691" t="s">
        <v>440</v>
      </c>
      <c r="I153" s="691" t="s">
        <v>441</v>
      </c>
      <c r="J153" s="692" t="s">
        <v>442</v>
      </c>
    </row>
    <row r="154" spans="1:10" ht="107.25" customHeight="1" thickBot="1" x14ac:dyDescent="0.3">
      <c r="A154" s="693"/>
      <c r="B154" s="691"/>
      <c r="C154" s="691"/>
      <c r="D154" s="691"/>
      <c r="E154" s="691"/>
      <c r="F154" s="691"/>
      <c r="G154" s="691"/>
      <c r="H154" s="691"/>
      <c r="I154" s="691"/>
      <c r="J154" s="692"/>
    </row>
    <row r="155" spans="1:10" ht="31.5" thickTop="1" thickBot="1" x14ac:dyDescent="0.3">
      <c r="A155" s="318" t="s">
        <v>443</v>
      </c>
      <c r="B155" s="226">
        <v>2</v>
      </c>
      <c r="C155" s="226">
        <v>1</v>
      </c>
      <c r="D155" s="226">
        <v>0</v>
      </c>
      <c r="E155" s="226">
        <v>5</v>
      </c>
      <c r="F155" s="226">
        <v>0</v>
      </c>
      <c r="G155" s="226">
        <v>4</v>
      </c>
      <c r="H155" s="226">
        <v>12</v>
      </c>
      <c r="I155" s="64">
        <v>5</v>
      </c>
      <c r="J155" s="336">
        <v>0.41670000000000001</v>
      </c>
    </row>
    <row r="156" spans="1:10" ht="16.5" thickTop="1" thickBot="1" x14ac:dyDescent="0.3">
      <c r="A156" s="318" t="s">
        <v>444</v>
      </c>
      <c r="B156" s="226">
        <v>-782</v>
      </c>
      <c r="C156" s="226">
        <v>-584</v>
      </c>
      <c r="D156" s="226" t="s">
        <v>445</v>
      </c>
      <c r="E156" s="226">
        <v>828</v>
      </c>
      <c r="F156" s="226" t="s">
        <v>445</v>
      </c>
      <c r="G156" s="226" t="s">
        <v>445</v>
      </c>
      <c r="H156" s="226" t="s">
        <v>445</v>
      </c>
      <c r="I156" s="226">
        <v>828</v>
      </c>
      <c r="J156" s="319" t="s">
        <v>445</v>
      </c>
    </row>
    <row r="157" spans="1:10" ht="16.5" thickTop="1" thickBot="1" x14ac:dyDescent="0.3">
      <c r="A157" s="318" t="s">
        <v>446</v>
      </c>
      <c r="B157" s="226">
        <v>0</v>
      </c>
      <c r="C157" s="226">
        <v>0</v>
      </c>
      <c r="D157" s="226">
        <v>0</v>
      </c>
      <c r="E157" s="226">
        <v>2</v>
      </c>
      <c r="F157" s="226">
        <v>2</v>
      </c>
      <c r="G157" s="226">
        <v>8</v>
      </c>
      <c r="H157" s="226">
        <v>12</v>
      </c>
      <c r="I157" s="64">
        <v>4</v>
      </c>
      <c r="J157" s="336">
        <v>0.33329999999999999</v>
      </c>
    </row>
    <row r="158" spans="1:10" ht="15.75" thickTop="1" x14ac:dyDescent="0.25">
      <c r="A158" s="318" t="s">
        <v>447</v>
      </c>
      <c r="B158" s="226" t="s">
        <v>445</v>
      </c>
      <c r="C158" s="226" t="s">
        <v>445</v>
      </c>
      <c r="D158" s="226" t="s">
        <v>445</v>
      </c>
      <c r="E158" s="226">
        <v>238</v>
      </c>
      <c r="F158" s="226">
        <v>1070</v>
      </c>
      <c r="G158" s="226" t="s">
        <v>445</v>
      </c>
      <c r="H158" s="226" t="s">
        <v>445</v>
      </c>
      <c r="I158" s="118">
        <v>654</v>
      </c>
      <c r="J158" s="319" t="s">
        <v>445</v>
      </c>
    </row>
    <row r="159" spans="1:10" ht="26.45" customHeight="1" x14ac:dyDescent="0.25">
      <c r="A159" s="318" t="s">
        <v>448</v>
      </c>
      <c r="B159" s="226">
        <v>0</v>
      </c>
      <c r="C159" s="226">
        <v>1</v>
      </c>
      <c r="D159" s="226">
        <v>0</v>
      </c>
      <c r="E159" s="226">
        <v>9</v>
      </c>
      <c r="F159" s="226">
        <v>0</v>
      </c>
      <c r="G159" s="226">
        <v>2</v>
      </c>
      <c r="H159" s="233">
        <v>12</v>
      </c>
      <c r="I159" s="226">
        <v>9</v>
      </c>
      <c r="J159" s="337">
        <v>0.75</v>
      </c>
    </row>
    <row r="160" spans="1:10" ht="22.5" customHeight="1" thickBot="1" x14ac:dyDescent="0.3">
      <c r="A160" s="122" t="s">
        <v>449</v>
      </c>
      <c r="B160" s="127" t="s">
        <v>445</v>
      </c>
      <c r="C160" s="127">
        <v>-584</v>
      </c>
      <c r="D160" s="127" t="s">
        <v>445</v>
      </c>
      <c r="E160" s="127">
        <v>576.89</v>
      </c>
      <c r="F160" s="127" t="s">
        <v>445</v>
      </c>
      <c r="G160" s="127" t="s">
        <v>445</v>
      </c>
      <c r="H160" s="127">
        <v>384</v>
      </c>
      <c r="I160" s="69">
        <v>576.89</v>
      </c>
      <c r="J160" s="124" t="s">
        <v>445</v>
      </c>
    </row>
    <row r="161" spans="1:10" ht="15.75" thickTop="1" x14ac:dyDescent="0.25">
      <c r="A161" s="55"/>
      <c r="B161" s="55"/>
      <c r="C161" s="55"/>
      <c r="D161" s="55"/>
      <c r="E161" s="55"/>
      <c r="F161" s="55"/>
      <c r="G161" s="55"/>
      <c r="H161" s="55"/>
      <c r="I161" s="55"/>
      <c r="J161" s="55"/>
    </row>
    <row r="162" spans="1:10" ht="15.75" thickBot="1" x14ac:dyDescent="0.3">
      <c r="A162" s="55"/>
      <c r="B162" s="55"/>
      <c r="C162" s="55"/>
      <c r="D162" s="55"/>
      <c r="E162" s="55"/>
      <c r="F162" s="55"/>
      <c r="G162" s="55"/>
      <c r="H162" s="55"/>
      <c r="I162" s="55"/>
      <c r="J162" s="55"/>
    </row>
    <row r="163" spans="1:10" ht="30.75" thickTop="1" x14ac:dyDescent="0.25">
      <c r="A163" s="56" t="s">
        <v>450</v>
      </c>
      <c r="B163" s="71"/>
      <c r="C163" s="72"/>
      <c r="D163" s="72"/>
      <c r="E163" s="72"/>
      <c r="F163" s="72"/>
      <c r="G163" s="72"/>
      <c r="H163" s="72"/>
      <c r="I163" s="72"/>
      <c r="J163" s="73"/>
    </row>
    <row r="164" spans="1:10" x14ac:dyDescent="0.25">
      <c r="A164" s="693"/>
      <c r="B164" s="691" t="s">
        <v>451</v>
      </c>
      <c r="C164" s="691" t="s">
        <v>452</v>
      </c>
      <c r="D164" s="691" t="s">
        <v>453</v>
      </c>
      <c r="E164" s="691" t="s">
        <v>454</v>
      </c>
      <c r="F164" s="691" t="s">
        <v>455</v>
      </c>
      <c r="G164" s="691" t="s">
        <v>456</v>
      </c>
      <c r="H164" s="691" t="s">
        <v>440</v>
      </c>
      <c r="I164" s="691" t="s">
        <v>457</v>
      </c>
      <c r="J164" s="692" t="s">
        <v>442</v>
      </c>
    </row>
    <row r="165" spans="1:10" ht="15.75" thickBot="1" x14ac:dyDescent="0.3">
      <c r="A165" s="693"/>
      <c r="B165" s="691"/>
      <c r="C165" s="691"/>
      <c r="D165" s="691"/>
      <c r="E165" s="691"/>
      <c r="F165" s="691"/>
      <c r="G165" s="691"/>
      <c r="H165" s="691"/>
      <c r="I165" s="691"/>
      <c r="J165" s="692"/>
    </row>
    <row r="166" spans="1:10" ht="31.5" thickTop="1" thickBot="1" x14ac:dyDescent="0.3">
      <c r="A166" s="318" t="s">
        <v>443</v>
      </c>
      <c r="B166" s="226">
        <v>2</v>
      </c>
      <c r="C166" s="226">
        <v>1</v>
      </c>
      <c r="D166" s="226">
        <v>0</v>
      </c>
      <c r="E166" s="226">
        <v>0</v>
      </c>
      <c r="F166" s="226">
        <v>1</v>
      </c>
      <c r="G166" s="226">
        <v>2</v>
      </c>
      <c r="H166" s="226">
        <v>6</v>
      </c>
      <c r="I166" s="64">
        <v>1</v>
      </c>
      <c r="J166" s="336">
        <v>0.16669999999999999</v>
      </c>
    </row>
    <row r="167" spans="1:10" ht="16.5" thickTop="1" thickBot="1" x14ac:dyDescent="0.3">
      <c r="A167" s="318" t="s">
        <v>444</v>
      </c>
      <c r="B167" s="226">
        <v>-355</v>
      </c>
      <c r="C167" s="226">
        <v>-1535</v>
      </c>
      <c r="D167" s="226" t="s">
        <v>445</v>
      </c>
      <c r="E167" s="226" t="s">
        <v>445</v>
      </c>
      <c r="F167" s="226">
        <v>250</v>
      </c>
      <c r="G167" s="226" t="s">
        <v>445</v>
      </c>
      <c r="H167" s="226" t="s">
        <v>445</v>
      </c>
      <c r="I167" s="226">
        <v>250</v>
      </c>
      <c r="J167" s="319" t="s">
        <v>445</v>
      </c>
    </row>
    <row r="168" spans="1:10" ht="16.5" thickTop="1" thickBot="1" x14ac:dyDescent="0.3">
      <c r="A168" s="318" t="s">
        <v>446</v>
      </c>
      <c r="B168" s="226">
        <v>1</v>
      </c>
      <c r="C168" s="226">
        <v>2</v>
      </c>
      <c r="D168" s="226">
        <v>0</v>
      </c>
      <c r="E168" s="226">
        <v>1</v>
      </c>
      <c r="F168" s="226">
        <v>1</v>
      </c>
      <c r="G168" s="226">
        <v>1</v>
      </c>
      <c r="H168" s="226">
        <v>6</v>
      </c>
      <c r="I168" s="64">
        <v>2</v>
      </c>
      <c r="J168" s="336">
        <v>0.33329999999999999</v>
      </c>
    </row>
    <row r="169" spans="1:10" ht="15.75" thickTop="1" x14ac:dyDescent="0.25">
      <c r="A169" s="318" t="s">
        <v>447</v>
      </c>
      <c r="B169" s="226">
        <v>-75</v>
      </c>
      <c r="C169" s="226">
        <v>-29</v>
      </c>
      <c r="D169" s="226" t="s">
        <v>445</v>
      </c>
      <c r="E169" s="226">
        <v>766</v>
      </c>
      <c r="F169" s="226">
        <v>697</v>
      </c>
      <c r="G169" s="226" t="s">
        <v>445</v>
      </c>
      <c r="H169" s="226" t="s">
        <v>445</v>
      </c>
      <c r="I169" s="118">
        <v>731.5</v>
      </c>
      <c r="J169" s="319" t="s">
        <v>445</v>
      </c>
    </row>
    <row r="170" spans="1:10" ht="31.35" customHeight="1" x14ac:dyDescent="0.25">
      <c r="A170" s="318" t="s">
        <v>448</v>
      </c>
      <c r="B170" s="226">
        <v>0</v>
      </c>
      <c r="C170" s="226">
        <v>3</v>
      </c>
      <c r="D170" s="226">
        <v>0</v>
      </c>
      <c r="E170" s="226">
        <v>3</v>
      </c>
      <c r="F170" s="226">
        <v>0</v>
      </c>
      <c r="G170" s="226">
        <v>0</v>
      </c>
      <c r="H170" s="226">
        <v>6</v>
      </c>
      <c r="I170" s="226">
        <v>3</v>
      </c>
      <c r="J170" s="337">
        <v>0.5</v>
      </c>
    </row>
    <row r="171" spans="1:10" ht="31.35" customHeight="1" thickBot="1" x14ac:dyDescent="0.3">
      <c r="A171" s="122" t="s">
        <v>449</v>
      </c>
      <c r="B171" s="127" t="s">
        <v>445</v>
      </c>
      <c r="C171" s="127">
        <v>-731</v>
      </c>
      <c r="D171" s="127" t="s">
        <v>445</v>
      </c>
      <c r="E171" s="127">
        <v>509.33</v>
      </c>
      <c r="F171" s="127" t="s">
        <v>445</v>
      </c>
      <c r="G171" s="127" t="s">
        <v>445</v>
      </c>
      <c r="H171" s="127" t="s">
        <v>445</v>
      </c>
      <c r="I171" s="69">
        <v>509.33</v>
      </c>
      <c r="J171" s="124" t="s">
        <v>445</v>
      </c>
    </row>
    <row r="172" spans="1:10" ht="15.75" thickTop="1" x14ac:dyDescent="0.25">
      <c r="A172" s="55"/>
      <c r="B172" s="55"/>
      <c r="C172" s="55"/>
      <c r="D172" s="55"/>
      <c r="E172" s="55"/>
      <c r="F172" s="55"/>
      <c r="G172" s="55"/>
      <c r="H172" s="55"/>
      <c r="I172" s="55"/>
      <c r="J172" s="55"/>
    </row>
    <row r="173" spans="1:10" ht="15.75" thickBot="1" x14ac:dyDescent="0.3">
      <c r="A173" s="55"/>
      <c r="B173" s="55"/>
      <c r="C173" s="55"/>
      <c r="D173" s="55"/>
      <c r="E173" s="55"/>
      <c r="F173" s="55"/>
      <c r="G173" s="55"/>
      <c r="H173" s="55"/>
      <c r="I173" s="55"/>
      <c r="J173" s="55"/>
    </row>
    <row r="174" spans="1:10" ht="15.75" thickTop="1" x14ac:dyDescent="0.25">
      <c r="A174" s="56" t="s">
        <v>458</v>
      </c>
      <c r="B174" s="71"/>
      <c r="C174" s="72"/>
      <c r="D174" s="73"/>
    </row>
    <row r="175" spans="1:10" x14ac:dyDescent="0.25">
      <c r="A175" s="693"/>
      <c r="B175" s="691" t="s">
        <v>459</v>
      </c>
      <c r="C175" s="691" t="s">
        <v>460</v>
      </c>
      <c r="D175" s="692" t="s">
        <v>461</v>
      </c>
    </row>
    <row r="176" spans="1:10" x14ac:dyDescent="0.25">
      <c r="A176" s="693"/>
      <c r="B176" s="691"/>
      <c r="C176" s="691"/>
      <c r="D176" s="692"/>
    </row>
    <row r="177" spans="1:4" x14ac:dyDescent="0.25">
      <c r="A177" s="693"/>
      <c r="B177" s="691"/>
      <c r="C177" s="694"/>
      <c r="D177" s="695"/>
    </row>
    <row r="178" spans="1:4" ht="15.75" thickBot="1" x14ac:dyDescent="0.3">
      <c r="A178" s="318" t="s">
        <v>462</v>
      </c>
      <c r="B178" s="233">
        <v>5</v>
      </c>
      <c r="C178" s="118">
        <v>1</v>
      </c>
      <c r="D178" s="108">
        <v>2</v>
      </c>
    </row>
    <row r="179" spans="1:4" s="49" customFormat="1" ht="16.5" thickTop="1" thickBot="1" x14ac:dyDescent="0.3">
      <c r="A179" s="318" t="s">
        <v>463</v>
      </c>
      <c r="B179" s="233">
        <v>16</v>
      </c>
      <c r="C179" s="64">
        <v>11</v>
      </c>
      <c r="D179" s="64">
        <v>4</v>
      </c>
    </row>
    <row r="180" spans="1:4" s="49" customFormat="1" ht="16.5" thickTop="1" thickBot="1" x14ac:dyDescent="0.3">
      <c r="A180" s="318" t="s">
        <v>357</v>
      </c>
      <c r="B180" s="233">
        <v>0</v>
      </c>
      <c r="C180" s="64">
        <v>0</v>
      </c>
      <c r="D180" s="64">
        <v>0</v>
      </c>
    </row>
    <row r="181" spans="1:4" s="49" customFormat="1" ht="16.5" thickTop="1" thickBot="1" x14ac:dyDescent="0.3">
      <c r="A181" s="318" t="s">
        <v>358</v>
      </c>
      <c r="B181" s="233">
        <v>0</v>
      </c>
      <c r="C181" s="105">
        <v>3</v>
      </c>
      <c r="D181" s="106">
        <v>0</v>
      </c>
    </row>
    <row r="182" spans="1:4" s="49" customFormat="1" ht="16.5" thickTop="1" thickBot="1" x14ac:dyDescent="0.3">
      <c r="A182" s="122" t="s">
        <v>350</v>
      </c>
      <c r="B182" s="137">
        <v>21</v>
      </c>
      <c r="C182" s="64">
        <v>15</v>
      </c>
      <c r="D182" s="64">
        <v>6</v>
      </c>
    </row>
    <row r="183" spans="1:4" s="49" customFormat="1" ht="15.75" thickTop="1" x14ac:dyDescent="0.25">
      <c r="A183" s="55"/>
      <c r="B183" s="55"/>
      <c r="C183" s="55"/>
      <c r="D183" s="55"/>
    </row>
    <row r="184" spans="1:4" s="49" customFormat="1" ht="15.75" thickBot="1" x14ac:dyDescent="0.3">
      <c r="A184" s="55"/>
      <c r="B184" s="55"/>
      <c r="C184" s="55"/>
      <c r="D184" s="55"/>
    </row>
    <row r="185" spans="1:4" s="49" customFormat="1" ht="15.75" thickTop="1" x14ac:dyDescent="0.25">
      <c r="A185" s="56" t="s">
        <v>464</v>
      </c>
      <c r="B185" s="71"/>
      <c r="C185" s="72"/>
      <c r="D185" s="73"/>
    </row>
    <row r="186" spans="1:4" s="49" customFormat="1" x14ac:dyDescent="0.25">
      <c r="A186" s="693"/>
      <c r="B186" s="691" t="s">
        <v>350</v>
      </c>
      <c r="C186" s="691" t="s">
        <v>465</v>
      </c>
      <c r="D186" s="692" t="s">
        <v>466</v>
      </c>
    </row>
    <row r="187" spans="1:4" s="49" customFormat="1" ht="15.75" thickBot="1" x14ac:dyDescent="0.3">
      <c r="A187" s="693"/>
      <c r="B187" s="694"/>
      <c r="C187" s="691"/>
      <c r="D187" s="692"/>
    </row>
    <row r="188" spans="1:4" s="49" customFormat="1" ht="16.5" thickTop="1" thickBot="1" x14ac:dyDescent="0.3">
      <c r="A188" s="317" t="s">
        <v>467</v>
      </c>
      <c r="B188" s="64">
        <v>0</v>
      </c>
      <c r="C188" s="225">
        <v>0</v>
      </c>
      <c r="D188" s="319">
        <v>0</v>
      </c>
    </row>
    <row r="189" spans="1:4" s="49" customFormat="1" ht="16.5" thickTop="1" thickBot="1" x14ac:dyDescent="0.3">
      <c r="A189" s="317" t="s">
        <v>468</v>
      </c>
      <c r="B189" s="64">
        <v>0</v>
      </c>
      <c r="C189" s="225">
        <v>0</v>
      </c>
      <c r="D189" s="319">
        <v>0</v>
      </c>
    </row>
    <row r="190" spans="1:4" s="49" customFormat="1" ht="16.5" thickTop="1" thickBot="1" x14ac:dyDescent="0.3">
      <c r="A190" s="317" t="s">
        <v>469</v>
      </c>
      <c r="B190" s="64">
        <v>0</v>
      </c>
      <c r="C190" s="225">
        <v>0</v>
      </c>
      <c r="D190" s="319">
        <v>0</v>
      </c>
    </row>
    <row r="191" spans="1:4" s="49" customFormat="1" ht="16.5" thickTop="1" thickBot="1" x14ac:dyDescent="0.3">
      <c r="A191" s="317" t="s">
        <v>470</v>
      </c>
      <c r="B191" s="64">
        <v>1</v>
      </c>
      <c r="C191" s="225">
        <v>0</v>
      </c>
      <c r="D191" s="319">
        <v>1</v>
      </c>
    </row>
    <row r="192" spans="1:4" s="49" customFormat="1" ht="15.75" thickTop="1" x14ac:dyDescent="0.25">
      <c r="A192" s="317" t="s">
        <v>471</v>
      </c>
      <c r="B192" s="226">
        <v>7</v>
      </c>
      <c r="C192" s="225">
        <v>4</v>
      </c>
      <c r="D192" s="319">
        <v>3</v>
      </c>
    </row>
    <row r="193" spans="1:8" s="49" customFormat="1" x14ac:dyDescent="0.25">
      <c r="A193" s="318" t="s">
        <v>472</v>
      </c>
      <c r="B193" s="333">
        <v>1</v>
      </c>
      <c r="C193" s="226">
        <v>0</v>
      </c>
      <c r="D193" s="319">
        <v>1</v>
      </c>
    </row>
    <row r="194" spans="1:8" s="49" customFormat="1" x14ac:dyDescent="0.25">
      <c r="A194" s="318" t="s">
        <v>473</v>
      </c>
      <c r="B194" s="226">
        <v>2</v>
      </c>
      <c r="C194" s="226">
        <v>0</v>
      </c>
      <c r="D194" s="319">
        <v>2</v>
      </c>
    </row>
    <row r="195" spans="1:8" s="49" customFormat="1" x14ac:dyDescent="0.25">
      <c r="A195" s="318" t="s">
        <v>474</v>
      </c>
      <c r="B195" s="226">
        <v>4</v>
      </c>
      <c r="C195" s="226">
        <v>1</v>
      </c>
      <c r="D195" s="319">
        <v>3</v>
      </c>
    </row>
    <row r="196" spans="1:8" s="49" customFormat="1" x14ac:dyDescent="0.25">
      <c r="A196" s="318" t="s">
        <v>475</v>
      </c>
      <c r="B196" s="226">
        <v>1</v>
      </c>
      <c r="C196" s="226">
        <v>0</v>
      </c>
      <c r="D196" s="319">
        <v>1</v>
      </c>
    </row>
    <row r="197" spans="1:8" s="49" customFormat="1" ht="15.75" thickBot="1" x14ac:dyDescent="0.3">
      <c r="A197" s="318" t="s">
        <v>476</v>
      </c>
      <c r="B197" s="226">
        <v>8</v>
      </c>
      <c r="C197" s="226">
        <v>3</v>
      </c>
      <c r="D197" s="319">
        <v>5</v>
      </c>
    </row>
    <row r="198" spans="1:8" s="49" customFormat="1" ht="16.5" thickTop="1" thickBot="1" x14ac:dyDescent="0.3">
      <c r="A198" s="122" t="s">
        <v>350</v>
      </c>
      <c r="B198" s="64">
        <v>24</v>
      </c>
      <c r="C198" s="137">
        <v>8</v>
      </c>
      <c r="D198" s="64">
        <v>16</v>
      </c>
    </row>
    <row r="199" spans="1:8" s="49" customFormat="1" ht="15.75" thickTop="1" x14ac:dyDescent="0.25">
      <c r="A199" s="55"/>
      <c r="B199" s="55"/>
      <c r="C199" s="55"/>
      <c r="D199" s="55"/>
    </row>
    <row r="200" spans="1:8" s="49" customFormat="1" ht="15.75" thickBot="1" x14ac:dyDescent="0.3">
      <c r="A200" s="55"/>
      <c r="B200" s="55"/>
      <c r="C200" s="55"/>
      <c r="D200" s="55"/>
      <c r="E200" s="55"/>
      <c r="F200" s="55"/>
    </row>
    <row r="201" spans="1:8" s="49" customFormat="1" ht="30.75" thickTop="1" x14ac:dyDescent="0.25">
      <c r="A201" s="56" t="s">
        <v>477</v>
      </c>
      <c r="B201" s="71"/>
      <c r="C201" s="72"/>
      <c r="D201" s="72"/>
      <c r="E201" s="72"/>
      <c r="F201" s="73"/>
    </row>
    <row r="202" spans="1:8" s="26" customFormat="1" x14ac:dyDescent="0.25">
      <c r="A202" s="693" t="s">
        <v>478</v>
      </c>
      <c r="B202" s="691" t="s">
        <v>350</v>
      </c>
      <c r="C202" s="691" t="s">
        <v>351</v>
      </c>
      <c r="D202" s="691" t="s">
        <v>479</v>
      </c>
      <c r="E202" s="691" t="s">
        <v>353</v>
      </c>
      <c r="F202" s="692" t="s">
        <v>480</v>
      </c>
      <c r="G202" s="27"/>
      <c r="H202" s="27"/>
    </row>
    <row r="203" spans="1:8" s="26" customFormat="1" x14ac:dyDescent="0.25">
      <c r="A203" s="693"/>
      <c r="B203" s="691"/>
      <c r="C203" s="691"/>
      <c r="D203" s="691"/>
      <c r="E203" s="691"/>
      <c r="F203" s="692"/>
      <c r="G203" s="28"/>
      <c r="H203" s="28"/>
    </row>
    <row r="204" spans="1:8" s="26" customFormat="1" x14ac:dyDescent="0.25">
      <c r="A204" s="318" t="s">
        <v>481</v>
      </c>
      <c r="B204" s="226">
        <v>4</v>
      </c>
      <c r="C204" s="226">
        <v>2</v>
      </c>
      <c r="D204" s="226">
        <v>2</v>
      </c>
      <c r="E204" s="226">
        <v>0</v>
      </c>
      <c r="F204" s="319">
        <v>0</v>
      </c>
    </row>
    <row r="205" spans="1:8" s="26" customFormat="1" x14ac:dyDescent="0.25">
      <c r="A205" s="318" t="s">
        <v>482</v>
      </c>
      <c r="B205" s="226">
        <v>3</v>
      </c>
      <c r="C205" s="226">
        <v>0</v>
      </c>
      <c r="D205" s="226">
        <v>3</v>
      </c>
      <c r="E205" s="226">
        <v>0</v>
      </c>
      <c r="F205" s="319">
        <v>0</v>
      </c>
    </row>
    <row r="206" spans="1:8" s="26" customFormat="1" x14ac:dyDescent="0.25">
      <c r="A206" s="318" t="s">
        <v>483</v>
      </c>
      <c r="B206" s="226">
        <v>0</v>
      </c>
      <c r="C206" s="226">
        <v>0</v>
      </c>
      <c r="D206" s="226">
        <v>0</v>
      </c>
      <c r="E206" s="226">
        <v>0</v>
      </c>
      <c r="F206" s="319">
        <v>0</v>
      </c>
    </row>
    <row r="207" spans="1:8" s="26" customFormat="1" x14ac:dyDescent="0.25">
      <c r="A207" s="318" t="s">
        <v>484</v>
      </c>
      <c r="B207" s="226">
        <v>0</v>
      </c>
      <c r="C207" s="226">
        <v>0</v>
      </c>
      <c r="D207" s="226">
        <v>0</v>
      </c>
      <c r="E207" s="226">
        <v>0</v>
      </c>
      <c r="F207" s="319">
        <v>0</v>
      </c>
    </row>
    <row r="208" spans="1:8" s="26" customFormat="1" x14ac:dyDescent="0.25">
      <c r="A208" s="318" t="s">
        <v>485</v>
      </c>
      <c r="B208" s="226">
        <v>0</v>
      </c>
      <c r="C208" s="226">
        <v>0</v>
      </c>
      <c r="D208" s="226">
        <v>0</v>
      </c>
      <c r="E208" s="226">
        <v>0</v>
      </c>
      <c r="F208" s="319">
        <v>0</v>
      </c>
    </row>
    <row r="209" spans="1:10" s="26" customFormat="1" x14ac:dyDescent="0.25">
      <c r="A209" s="318" t="s">
        <v>486</v>
      </c>
      <c r="B209" s="226">
        <v>0</v>
      </c>
      <c r="C209" s="226">
        <v>0</v>
      </c>
      <c r="D209" s="226">
        <v>0</v>
      </c>
      <c r="E209" s="226">
        <v>0</v>
      </c>
      <c r="F209" s="319">
        <v>0</v>
      </c>
    </row>
    <row r="210" spans="1:10" s="26" customFormat="1" x14ac:dyDescent="0.25">
      <c r="A210" s="318" t="s">
        <v>487</v>
      </c>
      <c r="B210" s="226">
        <v>0</v>
      </c>
      <c r="C210" s="226">
        <v>0</v>
      </c>
      <c r="D210" s="226">
        <v>0</v>
      </c>
      <c r="E210" s="226">
        <v>0</v>
      </c>
      <c r="F210" s="319">
        <v>0</v>
      </c>
    </row>
    <row r="211" spans="1:10" s="26" customFormat="1" x14ac:dyDescent="0.25">
      <c r="A211" s="318" t="s">
        <v>488</v>
      </c>
      <c r="B211" s="226">
        <v>0</v>
      </c>
      <c r="C211" s="226">
        <v>0</v>
      </c>
      <c r="D211" s="226">
        <v>0</v>
      </c>
      <c r="E211" s="226">
        <v>0</v>
      </c>
      <c r="F211" s="319">
        <v>0</v>
      </c>
    </row>
    <row r="212" spans="1:10" s="26" customFormat="1" ht="15.75" thickBot="1" x14ac:dyDescent="0.3">
      <c r="A212" s="318" t="s">
        <v>489</v>
      </c>
      <c r="B212" s="226">
        <v>7</v>
      </c>
      <c r="C212" s="226">
        <v>2</v>
      </c>
      <c r="D212" s="226">
        <v>5</v>
      </c>
      <c r="E212" s="226">
        <v>0</v>
      </c>
      <c r="F212" s="319">
        <v>0</v>
      </c>
    </row>
    <row r="213" spans="1:10" s="26" customFormat="1" ht="16.5" thickTop="1" thickBot="1" x14ac:dyDescent="0.3">
      <c r="A213" s="318" t="s">
        <v>490</v>
      </c>
      <c r="B213" s="64">
        <v>5.14</v>
      </c>
      <c r="C213" s="226">
        <v>1</v>
      </c>
      <c r="D213" s="226">
        <v>6.8</v>
      </c>
      <c r="E213" s="226">
        <v>0</v>
      </c>
      <c r="F213" s="319">
        <v>0</v>
      </c>
    </row>
    <row r="214" spans="1:10" s="26" customFormat="1" ht="15.75" thickTop="1" x14ac:dyDescent="0.25">
      <c r="A214" s="318" t="s">
        <v>491</v>
      </c>
      <c r="B214" s="226">
        <v>0</v>
      </c>
      <c r="C214" s="226">
        <v>0</v>
      </c>
      <c r="D214" s="226">
        <v>0</v>
      </c>
      <c r="E214" s="226">
        <v>0</v>
      </c>
      <c r="F214" s="319">
        <v>0</v>
      </c>
    </row>
    <row r="215" spans="1:10" s="26" customFormat="1" ht="15.75" thickBot="1" x14ac:dyDescent="0.3">
      <c r="A215" s="122" t="s">
        <v>350</v>
      </c>
      <c r="B215" s="127">
        <v>7</v>
      </c>
      <c r="C215" s="127">
        <v>2</v>
      </c>
      <c r="D215" s="127">
        <v>5</v>
      </c>
      <c r="E215" s="127">
        <v>0</v>
      </c>
      <c r="F215" s="124">
        <v>0</v>
      </c>
    </row>
    <row r="216" spans="1:10" ht="25.15" customHeight="1" thickTop="1" thickBot="1" x14ac:dyDescent="0.3">
      <c r="B216" s="50"/>
      <c r="C216" s="50"/>
      <c r="D216" s="50"/>
      <c r="E216" s="50"/>
      <c r="F216" s="50"/>
      <c r="G216" s="50"/>
      <c r="H216" s="50"/>
      <c r="I216" s="50"/>
      <c r="J216" s="50"/>
    </row>
    <row r="217" spans="1:10" s="49" customFormat="1" ht="26.45" customHeight="1" thickTop="1" x14ac:dyDescent="0.25">
      <c r="A217" s="56" t="s">
        <v>492</v>
      </c>
      <c r="B217" s="71"/>
      <c r="C217" s="72"/>
      <c r="D217" s="72"/>
      <c r="E217" s="72"/>
      <c r="F217" s="73"/>
    </row>
    <row r="218" spans="1:10" s="49" customFormat="1" x14ac:dyDescent="0.25">
      <c r="A218" s="693"/>
      <c r="B218" s="691" t="s">
        <v>350</v>
      </c>
      <c r="C218" s="691" t="s">
        <v>351</v>
      </c>
      <c r="D218" s="691" t="s">
        <v>352</v>
      </c>
      <c r="E218" s="691" t="s">
        <v>353</v>
      </c>
      <c r="F218" s="692" t="s">
        <v>354</v>
      </c>
    </row>
    <row r="219" spans="1:10" s="49" customFormat="1" x14ac:dyDescent="0.25">
      <c r="A219" s="693"/>
      <c r="B219" s="691"/>
      <c r="C219" s="691"/>
      <c r="D219" s="691"/>
      <c r="E219" s="691"/>
      <c r="F219" s="692"/>
    </row>
    <row r="220" spans="1:10" s="49" customFormat="1" ht="15.75" thickBot="1" x14ac:dyDescent="0.3">
      <c r="A220" s="701" t="s">
        <v>393</v>
      </c>
      <c r="B220" s="702"/>
      <c r="C220" s="702"/>
      <c r="D220" s="702"/>
      <c r="E220" s="702"/>
      <c r="F220" s="703"/>
    </row>
    <row r="221" spans="1:10" s="49" customFormat="1" ht="46.5" thickTop="1" thickBot="1" x14ac:dyDescent="0.3">
      <c r="A221" s="338" t="s">
        <v>493</v>
      </c>
      <c r="B221" s="64">
        <v>0</v>
      </c>
      <c r="C221" s="226">
        <v>0</v>
      </c>
      <c r="D221" s="226">
        <v>0</v>
      </c>
      <c r="E221" s="226">
        <v>0</v>
      </c>
      <c r="F221" s="319">
        <v>0</v>
      </c>
    </row>
    <row r="222" spans="1:10" s="49" customFormat="1" ht="31.5" thickTop="1" thickBot="1" x14ac:dyDescent="0.3">
      <c r="A222" s="338" t="s">
        <v>395</v>
      </c>
      <c r="B222" s="64">
        <v>1</v>
      </c>
      <c r="C222" s="226">
        <v>0</v>
      </c>
      <c r="D222" s="226">
        <v>1</v>
      </c>
      <c r="E222" s="226">
        <v>0</v>
      </c>
      <c r="F222" s="319">
        <v>0</v>
      </c>
    </row>
    <row r="223" spans="1:10" s="49" customFormat="1" ht="15.75" thickTop="1" x14ac:dyDescent="0.25">
      <c r="A223" s="338" t="s">
        <v>396</v>
      </c>
      <c r="B223" s="226">
        <v>0</v>
      </c>
      <c r="C223" s="226">
        <v>0</v>
      </c>
      <c r="D223" s="226">
        <v>0</v>
      </c>
      <c r="E223" s="226">
        <v>0</v>
      </c>
      <c r="F223" s="319">
        <v>0</v>
      </c>
    </row>
    <row r="224" spans="1:10" s="49" customFormat="1" x14ac:dyDescent="0.25">
      <c r="A224" s="339" t="s">
        <v>397</v>
      </c>
      <c r="B224" s="232">
        <v>1</v>
      </c>
      <c r="C224" s="232">
        <v>0</v>
      </c>
      <c r="D224" s="232">
        <v>1</v>
      </c>
      <c r="E224" s="232">
        <v>0</v>
      </c>
      <c r="F224" s="331">
        <v>0</v>
      </c>
    </row>
    <row r="225" spans="1:6" s="49" customFormat="1" x14ac:dyDescent="0.25">
      <c r="A225" s="701" t="s">
        <v>398</v>
      </c>
      <c r="B225" s="702"/>
      <c r="C225" s="702"/>
      <c r="D225" s="702"/>
      <c r="E225" s="702"/>
      <c r="F225" s="703"/>
    </row>
    <row r="226" spans="1:6" s="49" customFormat="1" x14ac:dyDescent="0.25">
      <c r="A226" s="338" t="s">
        <v>399</v>
      </c>
      <c r="B226" s="226">
        <v>0</v>
      </c>
      <c r="C226" s="226">
        <v>0</v>
      </c>
      <c r="D226" s="226">
        <v>0</v>
      </c>
      <c r="E226" s="226">
        <v>0</v>
      </c>
      <c r="F226" s="319">
        <v>0</v>
      </c>
    </row>
    <row r="227" spans="1:6" s="49" customFormat="1" ht="30" x14ac:dyDescent="0.25">
      <c r="A227" s="338" t="s">
        <v>400</v>
      </c>
      <c r="B227" s="226">
        <v>0</v>
      </c>
      <c r="C227" s="226">
        <v>0</v>
      </c>
      <c r="D227" s="226">
        <v>0</v>
      </c>
      <c r="E227" s="226">
        <v>0</v>
      </c>
      <c r="F227" s="319">
        <v>0</v>
      </c>
    </row>
    <row r="228" spans="1:6" s="49" customFormat="1" x14ac:dyDescent="0.25">
      <c r="A228" s="338" t="s">
        <v>401</v>
      </c>
      <c r="B228" s="226">
        <v>0</v>
      </c>
      <c r="C228" s="226">
        <v>0</v>
      </c>
      <c r="D228" s="226">
        <v>0</v>
      </c>
      <c r="E228" s="226">
        <v>0</v>
      </c>
      <c r="F228" s="319">
        <v>0</v>
      </c>
    </row>
    <row r="229" spans="1:6" s="49" customFormat="1" x14ac:dyDescent="0.25">
      <c r="A229" s="338" t="s">
        <v>402</v>
      </c>
      <c r="B229" s="226">
        <v>0</v>
      </c>
      <c r="C229" s="226">
        <v>0</v>
      </c>
      <c r="D229" s="226">
        <v>0</v>
      </c>
      <c r="E229" s="226">
        <v>0</v>
      </c>
      <c r="F229" s="319">
        <v>0</v>
      </c>
    </row>
    <row r="230" spans="1:6" s="49" customFormat="1" x14ac:dyDescent="0.25">
      <c r="A230" s="338" t="s">
        <v>403</v>
      </c>
      <c r="B230" s="226">
        <v>0</v>
      </c>
      <c r="C230" s="226">
        <v>0</v>
      </c>
      <c r="D230" s="226">
        <v>0</v>
      </c>
      <c r="E230" s="226">
        <v>0</v>
      </c>
      <c r="F230" s="319">
        <v>0</v>
      </c>
    </row>
    <row r="231" spans="1:6" s="49" customFormat="1" x14ac:dyDescent="0.25">
      <c r="A231" s="338" t="s">
        <v>404</v>
      </c>
      <c r="B231" s="226">
        <v>0</v>
      </c>
      <c r="C231" s="226">
        <v>0</v>
      </c>
      <c r="D231" s="226">
        <v>0</v>
      </c>
      <c r="E231" s="226">
        <v>0</v>
      </c>
      <c r="F231" s="319">
        <v>0</v>
      </c>
    </row>
    <row r="232" spans="1:6" s="49" customFormat="1" x14ac:dyDescent="0.25">
      <c r="A232" s="339" t="s">
        <v>397</v>
      </c>
      <c r="B232" s="232">
        <v>0</v>
      </c>
      <c r="C232" s="232">
        <v>0</v>
      </c>
      <c r="D232" s="232">
        <v>0</v>
      </c>
      <c r="E232" s="232">
        <v>0</v>
      </c>
      <c r="F232" s="331">
        <v>0</v>
      </c>
    </row>
    <row r="233" spans="1:6" s="49" customFormat="1" x14ac:dyDescent="0.25">
      <c r="A233" s="704" t="s">
        <v>405</v>
      </c>
      <c r="B233" s="705"/>
      <c r="C233" s="705"/>
      <c r="D233" s="705"/>
      <c r="E233" s="705"/>
      <c r="F233" s="706"/>
    </row>
    <row r="234" spans="1:6" s="49" customFormat="1" ht="30" x14ac:dyDescent="0.25">
      <c r="A234" s="338" t="s">
        <v>406</v>
      </c>
      <c r="B234" s="226">
        <v>0</v>
      </c>
      <c r="C234" s="226">
        <v>0</v>
      </c>
      <c r="D234" s="226">
        <v>0</v>
      </c>
      <c r="E234" s="226">
        <v>0</v>
      </c>
      <c r="F234" s="319">
        <v>0</v>
      </c>
    </row>
    <row r="235" spans="1:6" s="49" customFormat="1" ht="30" x14ac:dyDescent="0.25">
      <c r="A235" s="338" t="s">
        <v>407</v>
      </c>
      <c r="B235" s="226">
        <v>0</v>
      </c>
      <c r="C235" s="226">
        <v>0</v>
      </c>
      <c r="D235" s="226">
        <v>0</v>
      </c>
      <c r="E235" s="226">
        <v>0</v>
      </c>
      <c r="F235" s="319">
        <v>0</v>
      </c>
    </row>
    <row r="236" spans="1:6" s="49" customFormat="1" ht="30" x14ac:dyDescent="0.25">
      <c r="A236" s="338" t="s">
        <v>408</v>
      </c>
      <c r="B236" s="226">
        <v>0</v>
      </c>
      <c r="C236" s="226">
        <v>0</v>
      </c>
      <c r="D236" s="226">
        <v>0</v>
      </c>
      <c r="E236" s="226">
        <v>0</v>
      </c>
      <c r="F236" s="319">
        <v>0</v>
      </c>
    </row>
    <row r="237" spans="1:6" s="49" customFormat="1" x14ac:dyDescent="0.25">
      <c r="A237" s="338" t="s">
        <v>409</v>
      </c>
      <c r="B237" s="226">
        <v>0</v>
      </c>
      <c r="C237" s="226">
        <v>0</v>
      </c>
      <c r="D237" s="226">
        <v>0</v>
      </c>
      <c r="E237" s="226">
        <v>0</v>
      </c>
      <c r="F237" s="319">
        <v>0</v>
      </c>
    </row>
    <row r="238" spans="1:6" s="49" customFormat="1" ht="30" x14ac:dyDescent="0.25">
      <c r="A238" s="338" t="s">
        <v>494</v>
      </c>
      <c r="B238" s="226">
        <v>1</v>
      </c>
      <c r="C238" s="226">
        <v>1</v>
      </c>
      <c r="D238" s="226">
        <v>0</v>
      </c>
      <c r="E238" s="226">
        <v>0</v>
      </c>
      <c r="F238" s="319">
        <v>0</v>
      </c>
    </row>
    <row r="239" spans="1:6" s="49" customFormat="1" ht="30" x14ac:dyDescent="0.25">
      <c r="A239" s="338" t="s">
        <v>495</v>
      </c>
      <c r="B239" s="226">
        <v>0</v>
      </c>
      <c r="C239" s="226">
        <v>0</v>
      </c>
      <c r="D239" s="226">
        <v>0</v>
      </c>
      <c r="E239" s="226">
        <v>0</v>
      </c>
      <c r="F239" s="319">
        <v>0</v>
      </c>
    </row>
    <row r="240" spans="1:6" s="49" customFormat="1" ht="18.75" customHeight="1" x14ac:dyDescent="0.25">
      <c r="A240" s="338" t="s">
        <v>496</v>
      </c>
      <c r="B240" s="226">
        <v>0</v>
      </c>
      <c r="C240" s="226">
        <v>0</v>
      </c>
      <c r="D240" s="226">
        <v>0</v>
      </c>
      <c r="E240" s="226">
        <v>0</v>
      </c>
      <c r="F240" s="319">
        <v>0</v>
      </c>
    </row>
    <row r="241" spans="1:6" s="49" customFormat="1" x14ac:dyDescent="0.25">
      <c r="A241" s="338" t="s">
        <v>397</v>
      </c>
      <c r="B241" s="226">
        <v>1</v>
      </c>
      <c r="C241" s="226">
        <v>1</v>
      </c>
      <c r="D241" s="226">
        <v>0</v>
      </c>
      <c r="E241" s="226">
        <v>0</v>
      </c>
      <c r="F241" s="319">
        <v>0</v>
      </c>
    </row>
    <row r="242" spans="1:6" s="49" customFormat="1" x14ac:dyDescent="0.25">
      <c r="A242" s="701" t="s">
        <v>412</v>
      </c>
      <c r="B242" s="702"/>
      <c r="C242" s="702"/>
      <c r="D242" s="702"/>
      <c r="E242" s="702"/>
      <c r="F242" s="703"/>
    </row>
    <row r="243" spans="1:6" s="49" customFormat="1" x14ac:dyDescent="0.25">
      <c r="A243" s="338" t="s">
        <v>497</v>
      </c>
      <c r="B243" s="226">
        <v>2</v>
      </c>
      <c r="C243" s="226">
        <v>0</v>
      </c>
      <c r="D243" s="226">
        <v>2</v>
      </c>
      <c r="E243" s="226">
        <v>0</v>
      </c>
      <c r="F243" s="319">
        <v>0</v>
      </c>
    </row>
    <row r="244" spans="1:6" s="49" customFormat="1" x14ac:dyDescent="0.25">
      <c r="A244" s="338" t="s">
        <v>498</v>
      </c>
      <c r="B244" s="226">
        <v>0</v>
      </c>
      <c r="C244" s="226">
        <v>0</v>
      </c>
      <c r="D244" s="226">
        <v>0</v>
      </c>
      <c r="E244" s="226">
        <v>0</v>
      </c>
      <c r="F244" s="319">
        <v>0</v>
      </c>
    </row>
    <row r="245" spans="1:6" s="49" customFormat="1" x14ac:dyDescent="0.25">
      <c r="A245" s="338" t="s">
        <v>499</v>
      </c>
      <c r="B245" s="118">
        <v>0</v>
      </c>
      <c r="C245" s="226">
        <v>0</v>
      </c>
      <c r="D245" s="226">
        <v>0</v>
      </c>
      <c r="E245" s="226">
        <v>0</v>
      </c>
      <c r="F245" s="319">
        <v>0</v>
      </c>
    </row>
    <row r="246" spans="1:6" s="49" customFormat="1" x14ac:dyDescent="0.25">
      <c r="A246" s="398" t="s">
        <v>413</v>
      </c>
      <c r="B246" s="93">
        <v>0</v>
      </c>
      <c r="C246" s="399">
        <v>0</v>
      </c>
      <c r="D246" s="226">
        <v>0</v>
      </c>
      <c r="E246" s="226">
        <v>0</v>
      </c>
      <c r="F246" s="319">
        <v>0</v>
      </c>
    </row>
    <row r="247" spans="1:6" s="49" customFormat="1" x14ac:dyDescent="0.25">
      <c r="A247" s="398" t="s">
        <v>414</v>
      </c>
      <c r="B247" s="93">
        <v>4</v>
      </c>
      <c r="C247" s="399">
        <v>4</v>
      </c>
      <c r="D247" s="226">
        <v>0</v>
      </c>
      <c r="E247" s="226">
        <v>0</v>
      </c>
      <c r="F247" s="319">
        <v>0</v>
      </c>
    </row>
    <row r="248" spans="1:6" s="49" customFormat="1" x14ac:dyDescent="0.25">
      <c r="A248" s="398" t="s">
        <v>415</v>
      </c>
      <c r="B248" s="93">
        <v>0</v>
      </c>
      <c r="C248" s="399">
        <v>0</v>
      </c>
      <c r="D248" s="226">
        <v>0</v>
      </c>
      <c r="E248" s="226">
        <v>0</v>
      </c>
      <c r="F248" s="319">
        <v>0</v>
      </c>
    </row>
    <row r="249" spans="1:6" s="49" customFormat="1" ht="15.75" thickBot="1" x14ac:dyDescent="0.3">
      <c r="A249" s="398" t="s">
        <v>416</v>
      </c>
      <c r="B249" s="400">
        <v>0</v>
      </c>
      <c r="C249" s="399">
        <v>0</v>
      </c>
      <c r="D249" s="226">
        <v>0</v>
      </c>
      <c r="E249" s="226">
        <v>0</v>
      </c>
      <c r="F249" s="319">
        <v>0</v>
      </c>
    </row>
    <row r="250" spans="1:6" s="49" customFormat="1" ht="16.5" thickTop="1" thickBot="1" x14ac:dyDescent="0.3">
      <c r="A250" s="398" t="s">
        <v>397</v>
      </c>
      <c r="B250" s="83">
        <v>6</v>
      </c>
      <c r="C250" s="399">
        <v>4</v>
      </c>
      <c r="D250" s="226">
        <v>2</v>
      </c>
      <c r="E250" s="226">
        <v>0</v>
      </c>
      <c r="F250" s="319">
        <v>0</v>
      </c>
    </row>
    <row r="251" spans="1:6" s="49" customFormat="1" ht="15.75" thickTop="1" x14ac:dyDescent="0.25">
      <c r="A251" s="701" t="s">
        <v>500</v>
      </c>
      <c r="B251" s="707"/>
      <c r="C251" s="702"/>
      <c r="D251" s="702"/>
      <c r="E251" s="702"/>
      <c r="F251" s="703"/>
    </row>
    <row r="252" spans="1:6" s="49" customFormat="1" x14ac:dyDescent="0.25">
      <c r="A252" s="338" t="s">
        <v>501</v>
      </c>
      <c r="B252" s="226">
        <v>0</v>
      </c>
      <c r="C252" s="226">
        <v>0</v>
      </c>
      <c r="D252" s="226">
        <v>0</v>
      </c>
      <c r="E252" s="226">
        <v>0</v>
      </c>
      <c r="F252" s="319">
        <v>0</v>
      </c>
    </row>
    <row r="253" spans="1:6" s="49" customFormat="1" x14ac:dyDescent="0.25">
      <c r="A253" s="338" t="s">
        <v>502</v>
      </c>
      <c r="B253" s="226">
        <v>0</v>
      </c>
      <c r="C253" s="226">
        <v>0</v>
      </c>
      <c r="D253" s="226">
        <v>0</v>
      </c>
      <c r="E253" s="226">
        <v>0</v>
      </c>
      <c r="F253" s="319">
        <v>0</v>
      </c>
    </row>
    <row r="254" spans="1:6" s="49" customFormat="1" ht="15.75" thickBot="1" x14ac:dyDescent="0.3">
      <c r="A254" s="338" t="s">
        <v>503</v>
      </c>
      <c r="B254" s="226">
        <v>0</v>
      </c>
      <c r="C254" s="226">
        <v>0</v>
      </c>
      <c r="D254" s="226">
        <v>0</v>
      </c>
      <c r="E254" s="226">
        <v>0</v>
      </c>
      <c r="F254" s="319">
        <v>0</v>
      </c>
    </row>
    <row r="255" spans="1:6" s="49" customFormat="1" ht="16.5" thickTop="1" thickBot="1" x14ac:dyDescent="0.3">
      <c r="A255" s="338" t="s">
        <v>357</v>
      </c>
      <c r="B255" s="64">
        <v>0</v>
      </c>
      <c r="C255" s="226">
        <v>0</v>
      </c>
      <c r="D255" s="226">
        <v>0</v>
      </c>
      <c r="E255" s="226">
        <v>0</v>
      </c>
      <c r="F255" s="319">
        <v>0</v>
      </c>
    </row>
    <row r="256" spans="1:6" s="49" customFormat="1" ht="16.5" thickTop="1" thickBot="1" x14ac:dyDescent="0.3">
      <c r="A256" s="338" t="s">
        <v>358</v>
      </c>
      <c r="B256" s="64">
        <v>0</v>
      </c>
      <c r="C256" s="226">
        <v>0</v>
      </c>
      <c r="D256" s="226">
        <v>0</v>
      </c>
      <c r="E256" s="226">
        <v>0</v>
      </c>
      <c r="F256" s="319">
        <v>0</v>
      </c>
    </row>
    <row r="257" spans="1:6" s="49" customFormat="1" ht="16.5" thickTop="1" thickBot="1" x14ac:dyDescent="0.3">
      <c r="A257" s="338" t="s">
        <v>397</v>
      </c>
      <c r="B257" s="226">
        <v>0</v>
      </c>
      <c r="C257" s="226">
        <v>0</v>
      </c>
      <c r="D257" s="226">
        <v>0</v>
      </c>
      <c r="E257" s="226">
        <v>0</v>
      </c>
      <c r="F257" s="319">
        <v>0</v>
      </c>
    </row>
    <row r="258" spans="1:6" s="49" customFormat="1" ht="16.5" thickTop="1" thickBot="1" x14ac:dyDescent="0.3">
      <c r="A258" s="339" t="s">
        <v>504</v>
      </c>
      <c r="B258" s="64">
        <v>8</v>
      </c>
      <c r="C258" s="232">
        <v>5</v>
      </c>
      <c r="D258" s="232">
        <v>3</v>
      </c>
      <c r="E258" s="232">
        <v>0</v>
      </c>
      <c r="F258" s="331">
        <v>0</v>
      </c>
    </row>
    <row r="259" spans="1:6" s="49" customFormat="1" ht="16.5" thickTop="1" thickBot="1" x14ac:dyDescent="0.3">
      <c r="A259" s="339" t="s">
        <v>505</v>
      </c>
      <c r="B259" s="64">
        <v>6</v>
      </c>
      <c r="C259" s="232">
        <v>4</v>
      </c>
      <c r="D259" s="232">
        <v>2</v>
      </c>
      <c r="E259" s="232">
        <v>0</v>
      </c>
      <c r="F259" s="331">
        <v>0</v>
      </c>
    </row>
    <row r="260" spans="1:6" s="49" customFormat="1" ht="31.5" thickTop="1" thickBot="1" x14ac:dyDescent="0.3">
      <c r="A260" s="339" t="s">
        <v>506</v>
      </c>
      <c r="B260" s="64">
        <v>0</v>
      </c>
      <c r="C260" s="232">
        <v>0</v>
      </c>
      <c r="D260" s="232">
        <v>0</v>
      </c>
      <c r="E260" s="232">
        <v>0</v>
      </c>
      <c r="F260" s="331">
        <v>0</v>
      </c>
    </row>
    <row r="261" spans="1:6" s="49" customFormat="1" ht="30" customHeight="1" thickTop="1" thickBot="1" x14ac:dyDescent="0.3">
      <c r="A261" s="138" t="s">
        <v>507</v>
      </c>
      <c r="B261" s="64">
        <v>0.75</v>
      </c>
      <c r="C261" s="139">
        <v>0.8</v>
      </c>
      <c r="D261" s="139">
        <v>0.66669999999999996</v>
      </c>
      <c r="E261" s="139">
        <v>0</v>
      </c>
      <c r="F261" s="140">
        <v>0</v>
      </c>
    </row>
    <row r="262" spans="1:6" ht="15.75" thickTop="1" x14ac:dyDescent="0.25">
      <c r="A262" s="55"/>
      <c r="B262" s="50"/>
      <c r="C262" s="60"/>
      <c r="D262" s="60"/>
      <c r="E262" s="55"/>
      <c r="F262" s="55"/>
    </row>
    <row r="263" spans="1:6" ht="15.75" thickBot="1" x14ac:dyDescent="0.3">
      <c r="A263" s="55"/>
      <c r="B263" s="60"/>
      <c r="C263" s="60"/>
      <c r="D263" s="60"/>
      <c r="E263" s="55"/>
      <c r="F263" s="55"/>
    </row>
    <row r="264" spans="1:6" ht="30.75" thickTop="1" x14ac:dyDescent="0.25">
      <c r="A264" s="56" t="s">
        <v>508</v>
      </c>
      <c r="B264" s="71"/>
      <c r="C264" s="72"/>
      <c r="D264" s="72"/>
      <c r="E264" s="72"/>
      <c r="F264" s="73"/>
    </row>
    <row r="265" spans="1:6" ht="15" customHeight="1" x14ac:dyDescent="0.25">
      <c r="A265" s="693"/>
      <c r="B265" s="691" t="s">
        <v>350</v>
      </c>
      <c r="C265" s="691" t="s">
        <v>351</v>
      </c>
      <c r="D265" s="691" t="s">
        <v>352</v>
      </c>
      <c r="E265" s="691" t="s">
        <v>353</v>
      </c>
      <c r="F265" s="692" t="s">
        <v>354</v>
      </c>
    </row>
    <row r="266" spans="1:6" ht="15" customHeight="1" thickBot="1" x14ac:dyDescent="0.3">
      <c r="A266" s="693"/>
      <c r="B266" s="691"/>
      <c r="C266" s="691"/>
      <c r="D266" s="691"/>
      <c r="E266" s="691"/>
      <c r="F266" s="692"/>
    </row>
    <row r="267" spans="1:6" ht="16.5" thickTop="1" thickBot="1" x14ac:dyDescent="0.3">
      <c r="A267" s="318" t="s">
        <v>509</v>
      </c>
      <c r="B267" s="64">
        <v>14</v>
      </c>
      <c r="C267" s="226">
        <v>12</v>
      </c>
      <c r="D267" s="226">
        <v>2</v>
      </c>
      <c r="E267" s="226">
        <v>0</v>
      </c>
      <c r="F267" s="319">
        <v>0</v>
      </c>
    </row>
    <row r="268" spans="1:6" ht="16.5" thickTop="1" thickBot="1" x14ac:dyDescent="0.3">
      <c r="A268" s="318" t="s">
        <v>510</v>
      </c>
      <c r="B268" s="226">
        <v>6</v>
      </c>
      <c r="C268" s="226">
        <v>6</v>
      </c>
      <c r="D268" s="226">
        <v>0</v>
      </c>
      <c r="E268" s="226">
        <v>0</v>
      </c>
      <c r="F268" s="319">
        <v>0</v>
      </c>
    </row>
    <row r="269" spans="1:6" ht="16.5" thickTop="1" thickBot="1" x14ac:dyDescent="0.3">
      <c r="A269" s="318" t="s">
        <v>391</v>
      </c>
      <c r="B269" s="64">
        <v>0</v>
      </c>
      <c r="C269" s="226">
        <v>0</v>
      </c>
      <c r="D269" s="226">
        <v>0</v>
      </c>
      <c r="E269" s="226">
        <v>0</v>
      </c>
      <c r="F269" s="319">
        <v>0</v>
      </c>
    </row>
    <row r="270" spans="1:6" ht="16.5" thickTop="1" thickBot="1" x14ac:dyDescent="0.3">
      <c r="A270" s="318" t="s">
        <v>358</v>
      </c>
      <c r="B270" s="226">
        <v>0</v>
      </c>
      <c r="C270" s="226">
        <v>0</v>
      </c>
      <c r="D270" s="226">
        <v>0</v>
      </c>
      <c r="E270" s="226">
        <v>0</v>
      </c>
      <c r="F270" s="319">
        <v>0</v>
      </c>
    </row>
    <row r="271" spans="1:6" ht="16.5" thickTop="1" thickBot="1" x14ac:dyDescent="0.3">
      <c r="A271" s="122" t="s">
        <v>350</v>
      </c>
      <c r="B271" s="64">
        <v>20</v>
      </c>
      <c r="C271" s="127">
        <v>18</v>
      </c>
      <c r="D271" s="127">
        <v>2</v>
      </c>
      <c r="E271" s="127">
        <v>0</v>
      </c>
      <c r="F271" s="124">
        <v>0</v>
      </c>
    </row>
    <row r="272" spans="1:6" ht="15.75" thickTop="1" x14ac:dyDescent="0.25">
      <c r="A272" s="50" t="s">
        <v>320</v>
      </c>
    </row>
    <row r="273" spans="1:1" x14ac:dyDescent="0.25">
      <c r="A273" s="50" t="s">
        <v>320</v>
      </c>
    </row>
    <row r="274" spans="1:1" x14ac:dyDescent="0.25">
      <c r="A274" s="50" t="s">
        <v>320</v>
      </c>
    </row>
    <row r="275" spans="1:1" x14ac:dyDescent="0.25">
      <c r="A275" s="50" t="s">
        <v>320</v>
      </c>
    </row>
    <row r="276" spans="1:1" x14ac:dyDescent="0.25">
      <c r="A276" s="50" t="s">
        <v>320</v>
      </c>
    </row>
  </sheetData>
  <mergeCells count="97">
    <mergeCell ref="A220:F220"/>
    <mergeCell ref="A225:F225"/>
    <mergeCell ref="A233:F233"/>
    <mergeCell ref="A242:F242"/>
    <mergeCell ref="A251:F251"/>
    <mergeCell ref="A102:F102"/>
    <mergeCell ref="A107:F107"/>
    <mergeCell ref="A115:F115"/>
    <mergeCell ref="A123:F123"/>
    <mergeCell ref="F77:F78"/>
    <mergeCell ref="A100:A101"/>
    <mergeCell ref="B100:B101"/>
    <mergeCell ref="C100:C101"/>
    <mergeCell ref="D100:D101"/>
    <mergeCell ref="E100:E101"/>
    <mergeCell ref="F100:F101"/>
    <mergeCell ref="G77:G78"/>
    <mergeCell ref="A1:C1"/>
    <mergeCell ref="A265:A266"/>
    <mergeCell ref="B265:B266"/>
    <mergeCell ref="C265:C266"/>
    <mergeCell ref="D265:D266"/>
    <mergeCell ref="E265:E266"/>
    <mergeCell ref="F265:F266"/>
    <mergeCell ref="A218:A219"/>
    <mergeCell ref="B218:B219"/>
    <mergeCell ref="C218:C219"/>
    <mergeCell ref="D218:D219"/>
    <mergeCell ref="E218:E219"/>
    <mergeCell ref="F218:F219"/>
    <mergeCell ref="A32:A33"/>
    <mergeCell ref="B32:B33"/>
    <mergeCell ref="C32:C33"/>
    <mergeCell ref="D32:D33"/>
    <mergeCell ref="E32:E33"/>
    <mergeCell ref="F32:F33"/>
    <mergeCell ref="A51:A52"/>
    <mergeCell ref="B51:B52"/>
    <mergeCell ref="C51:C52"/>
    <mergeCell ref="D51:D52"/>
    <mergeCell ref="E51:E52"/>
    <mergeCell ref="F51:F52"/>
    <mergeCell ref="A43:A44"/>
    <mergeCell ref="B43:B44"/>
    <mergeCell ref="C43:C44"/>
    <mergeCell ref="D43:D44"/>
    <mergeCell ref="E43:E44"/>
    <mergeCell ref="F43:F44"/>
    <mergeCell ref="F60:F61"/>
    <mergeCell ref="A77:A78"/>
    <mergeCell ref="B77:B78"/>
    <mergeCell ref="C77:C78"/>
    <mergeCell ref="D77:D78"/>
    <mergeCell ref="E77:E78"/>
    <mergeCell ref="A60:A61"/>
    <mergeCell ref="B60:B61"/>
    <mergeCell ref="C60:C61"/>
    <mergeCell ref="D60:D61"/>
    <mergeCell ref="E60:E61"/>
    <mergeCell ref="J153:J154"/>
    <mergeCell ref="A136:A138"/>
    <mergeCell ref="B136:B138"/>
    <mergeCell ref="C136:C138"/>
    <mergeCell ref="D136:D138"/>
    <mergeCell ref="A153:A154"/>
    <mergeCell ref="B153:B154"/>
    <mergeCell ref="C153:C154"/>
    <mergeCell ref="D153:D154"/>
    <mergeCell ref="E153:E154"/>
    <mergeCell ref="F153:F154"/>
    <mergeCell ref="G153:G154"/>
    <mergeCell ref="H153:H154"/>
    <mergeCell ref="I153:I154"/>
    <mergeCell ref="G164:G165"/>
    <mergeCell ref="H164:H165"/>
    <mergeCell ref="I164:I165"/>
    <mergeCell ref="J164:J165"/>
    <mergeCell ref="A175:A177"/>
    <mergeCell ref="B175:B177"/>
    <mergeCell ref="C175:C177"/>
    <mergeCell ref="D175:D177"/>
    <mergeCell ref="A164:A165"/>
    <mergeCell ref="B164:B165"/>
    <mergeCell ref="C164:C165"/>
    <mergeCell ref="D164:D165"/>
    <mergeCell ref="E164:E165"/>
    <mergeCell ref="F164:F165"/>
    <mergeCell ref="E202:E203"/>
    <mergeCell ref="F202:F203"/>
    <mergeCell ref="A186:A187"/>
    <mergeCell ref="B186:B187"/>
    <mergeCell ref="C186:C187"/>
    <mergeCell ref="D186:D187"/>
    <mergeCell ref="A202:A203"/>
    <mergeCell ref="B202:B203"/>
    <mergeCell ref="C202:C203"/>
    <mergeCell ref="D202:D203"/>
  </mergeCells>
  <hyperlinks>
    <hyperlink ref="B50" r:id="rId1" tooltip="Copy section results to clipboard" display="javascript:void(0);" xr:uid="{486DCC0E-DE8C-4977-81DC-A91615AE767C}"/>
    <hyperlink ref="B99" r:id="rId2" tooltip="Copy section results to clipboard" display="javascript:void(0);" xr:uid="{B422C659-0DDD-4CE0-8723-EF8A6D1D0073}"/>
    <hyperlink ref="B135" r:id="rId3" tooltip="Copy section results to clipboard" display="javascript:void(0);" xr:uid="{4DE1BE88-A3F0-425B-A357-10A7C7B289DF}"/>
    <hyperlink ref="B152" r:id="rId4" tooltip="Copy section results to clipboard" display="javascript:void(0);" xr:uid="{0428D684-4498-4B6E-9AB2-E811C4555499}"/>
    <hyperlink ref="B163" r:id="rId5" tooltip="Copy section results to clipboard" display="javascript:void(0);" xr:uid="{E304E841-65EF-46E1-8003-61010FF2D21E}"/>
    <hyperlink ref="B174" r:id="rId6" tooltip="Copy section results to clipboard" display="javascript:void(0);" xr:uid="{50A28A29-BECE-4B34-A669-2A8AB30A0B2B}"/>
    <hyperlink ref="B217" r:id="rId7" tooltip="Copy section results to clipboard" display="javascript:void(0);" xr:uid="{26656070-FA35-4EC7-B86F-60A4A510C611}"/>
    <hyperlink ref="B185" r:id="rId8" tooltip="Copy section results to clipboard" display="javascript:void(0);" xr:uid="{8B904B02-8E1E-4AF0-8CB7-97FA6B90A558}"/>
    <hyperlink ref="B42" r:id="rId9" tooltip="Copy section results to clipboard" display="javascript:void(0);" xr:uid="{A38CC26F-E171-4CEA-94E5-6A3C55C8C6E6}"/>
    <hyperlink ref="B31" r:id="rId10" tooltip="Copy section results to clipboard" display="javascript:void(0);" xr:uid="{5F198612-AB08-4680-9B83-C00743F78BD7}"/>
    <hyperlink ref="B264" r:id="rId11" tooltip="Copy section results to clipboard" display="javascript:void(0);" xr:uid="{C692AF52-4F62-4727-A1A8-279B740A5258}"/>
    <hyperlink ref="B59" r:id="rId12" tooltip="Copy section results to clipboard" display="javascript:void(0);" xr:uid="{B1DB9F08-324A-4D00-A69F-C55DCA22ED5A}"/>
    <hyperlink ref="B76" r:id="rId13" tooltip="Copy section results to clipboard" display="javascript:void(0);" xr:uid="{DCBBA376-80A0-483F-AB83-D1ECF3D550D6}"/>
  </hyperlinks>
  <pageMargins left="0.7" right="0.7" top="0.75" bottom="0.75" header="0.3" footer="0.3"/>
  <pageSetup scale="61" fitToHeight="0" orientation="landscape" r:id="rId14"/>
  <headerFooter>
    <oddFooter>Page &amp;P of &amp;N</oddFooter>
  </headerFooter>
  <rowBreaks count="2" manualBreakCount="2">
    <brk id="53" max="16383" man="1"/>
    <brk id="15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92D0-6159-4639-982C-FD782484898F}">
  <sheetPr>
    <tabColor rgb="FFC00000"/>
  </sheetPr>
  <dimension ref="A1:D19"/>
  <sheetViews>
    <sheetView workbookViewId="0">
      <selection activeCell="B12" sqref="B12"/>
    </sheetView>
  </sheetViews>
  <sheetFormatPr defaultColWidth="8.7109375" defaultRowHeight="15" x14ac:dyDescent="0.25"/>
  <cols>
    <col min="1" max="1" width="23.42578125" style="43" customWidth="1"/>
    <col min="2" max="2" width="25" style="43" customWidth="1"/>
    <col min="3" max="3" width="26.5703125" style="43" customWidth="1"/>
    <col min="4" max="4" width="14.7109375" style="43" customWidth="1"/>
    <col min="5" max="16384" width="8.7109375" style="43"/>
  </cols>
  <sheetData>
    <row r="1" spans="1:4" x14ac:dyDescent="0.25">
      <c r="A1" s="340" t="s">
        <v>512</v>
      </c>
      <c r="B1" s="340" t="s">
        <v>180</v>
      </c>
      <c r="C1" s="340" t="s">
        <v>513</v>
      </c>
      <c r="D1" s="340" t="s">
        <v>90</v>
      </c>
    </row>
    <row r="2" spans="1:4" x14ac:dyDescent="0.25">
      <c r="A2" s="341" t="s">
        <v>215</v>
      </c>
      <c r="B2" s="341" t="s">
        <v>216</v>
      </c>
      <c r="C2" s="341" t="s">
        <v>217</v>
      </c>
      <c r="D2" s="341" t="s">
        <v>10</v>
      </c>
    </row>
    <row r="3" spans="1:4" x14ac:dyDescent="0.25">
      <c r="A3" s="341" t="s">
        <v>219</v>
      </c>
      <c r="B3" s="341" t="s">
        <v>216</v>
      </c>
      <c r="C3" s="341" t="s">
        <v>220</v>
      </c>
      <c r="D3" s="341" t="s">
        <v>11</v>
      </c>
    </row>
    <row r="4" spans="1:4" x14ac:dyDescent="0.25">
      <c r="A4" s="342" t="s">
        <v>182</v>
      </c>
      <c r="B4" s="343" t="s">
        <v>221</v>
      </c>
      <c r="C4" s="342" t="s">
        <v>184</v>
      </c>
      <c r="D4" s="344" t="s">
        <v>10</v>
      </c>
    </row>
    <row r="5" spans="1:4" x14ac:dyDescent="0.25">
      <c r="A5" s="342" t="s">
        <v>185</v>
      </c>
      <c r="B5" s="343" t="s">
        <v>223</v>
      </c>
      <c r="C5" s="342" t="s">
        <v>186</v>
      </c>
      <c r="D5" s="344" t="s">
        <v>10</v>
      </c>
    </row>
    <row r="6" spans="1:4" x14ac:dyDescent="0.25">
      <c r="A6" s="342" t="s">
        <v>176</v>
      </c>
      <c r="B6" s="343" t="s">
        <v>225</v>
      </c>
      <c r="C6" s="343" t="s">
        <v>187</v>
      </c>
      <c r="D6" s="344" t="s">
        <v>11</v>
      </c>
    </row>
    <row r="7" spans="1:4" x14ac:dyDescent="0.25">
      <c r="A7" s="342" t="s">
        <v>142</v>
      </c>
      <c r="B7" s="343" t="s">
        <v>227</v>
      </c>
      <c r="C7" s="343" t="s">
        <v>188</v>
      </c>
      <c r="D7" s="344" t="s">
        <v>10</v>
      </c>
    </row>
    <row r="8" spans="1:4" x14ac:dyDescent="0.25">
      <c r="A8" s="341" t="s">
        <v>189</v>
      </c>
      <c r="B8" s="341" t="s">
        <v>225</v>
      </c>
      <c r="C8" s="345" t="s">
        <v>190</v>
      </c>
      <c r="D8" s="341" t="s">
        <v>11</v>
      </c>
    </row>
    <row r="9" spans="1:4" x14ac:dyDescent="0.25">
      <c r="C9" s="44"/>
    </row>
    <row r="10" spans="1:4" x14ac:dyDescent="0.25">
      <c r="C10" s="44"/>
    </row>
    <row r="11" spans="1:4" x14ac:dyDescent="0.25">
      <c r="C11" s="44"/>
    </row>
    <row r="12" spans="1:4" x14ac:dyDescent="0.25">
      <c r="C12" s="44"/>
    </row>
    <row r="13" spans="1:4" x14ac:dyDescent="0.25">
      <c r="C13" s="44"/>
    </row>
    <row r="14" spans="1:4" x14ac:dyDescent="0.25">
      <c r="C14" s="44"/>
    </row>
    <row r="15" spans="1:4" x14ac:dyDescent="0.25">
      <c r="C15" s="44"/>
    </row>
    <row r="16" spans="1:4" x14ac:dyDescent="0.25">
      <c r="C16" s="44"/>
    </row>
    <row r="17" spans="3:3" x14ac:dyDescent="0.25">
      <c r="C17" s="44"/>
    </row>
    <row r="18" spans="3:3" x14ac:dyDescent="0.25">
      <c r="C18" s="44"/>
    </row>
    <row r="19" spans="3:3" x14ac:dyDescent="0.25">
      <c r="C19" s="44"/>
    </row>
  </sheetData>
  <autoFilter ref="A1:D1" xr:uid="{1DE39094-B975-45BE-B7E1-13DC6C40A6DB}"/>
  <conditionalFormatting sqref="A4:A7">
    <cfRule type="expression" dxfId="0" priority="1">
      <formula>(#REF!&gt;1)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3E41-BBB1-4BA3-8B13-AD1BCAB70EA0}">
  <sheetPr>
    <tabColor theme="9" tint="0.59999389629810485"/>
    <pageSetUpPr fitToPage="1"/>
  </sheetPr>
  <dimension ref="A1:H47"/>
  <sheetViews>
    <sheetView tabSelected="1" zoomScaleNormal="100" workbookViewId="0"/>
  </sheetViews>
  <sheetFormatPr defaultColWidth="8.85546875" defaultRowHeight="15" x14ac:dyDescent="0.25"/>
  <cols>
    <col min="1" max="1" width="5.7109375" style="30" customWidth="1"/>
    <col min="2" max="2" width="47.140625" style="36" customWidth="1"/>
    <col min="3" max="3" width="22.5703125" style="36" customWidth="1"/>
    <col min="4" max="4" width="7.140625" style="37" customWidth="1"/>
    <col min="5" max="5" width="8.140625" style="37" customWidth="1"/>
    <col min="6" max="6" width="9.28515625" style="37" customWidth="1"/>
    <col min="7" max="7" width="27.28515625" style="37" customWidth="1"/>
    <col min="8" max="8" width="30.140625" style="37" customWidth="1"/>
    <col min="9" max="16384" width="8.85546875" style="31"/>
  </cols>
  <sheetData>
    <row r="1" spans="1:8" ht="25.5" customHeight="1" x14ac:dyDescent="0.25">
      <c r="B1" s="505" t="s">
        <v>613</v>
      </c>
      <c r="C1" s="506"/>
      <c r="D1" s="506"/>
      <c r="E1" s="506"/>
      <c r="F1" s="506"/>
      <c r="G1" s="506"/>
      <c r="H1" s="507"/>
    </row>
    <row r="2" spans="1:8" ht="52.5" customHeight="1" x14ac:dyDescent="0.25">
      <c r="B2" s="508" t="s">
        <v>614</v>
      </c>
      <c r="C2" s="509"/>
      <c r="D2" s="509"/>
      <c r="E2" s="509"/>
      <c r="F2" s="509"/>
      <c r="G2" s="509"/>
      <c r="H2" s="510"/>
    </row>
    <row r="3" spans="1:8" x14ac:dyDescent="0.25">
      <c r="B3" s="511" t="s">
        <v>7</v>
      </c>
      <c r="C3" s="513" t="s">
        <v>8</v>
      </c>
      <c r="D3" s="515" t="s">
        <v>616</v>
      </c>
      <c r="E3" s="516"/>
      <c r="F3" s="144" t="s">
        <v>617</v>
      </c>
      <c r="G3" s="513" t="s">
        <v>618</v>
      </c>
      <c r="H3" s="517"/>
    </row>
    <row r="4" spans="1:8" ht="21.75" customHeight="1" x14ac:dyDescent="0.25">
      <c r="B4" s="512"/>
      <c r="C4" s="514"/>
      <c r="D4" s="144" t="s">
        <v>10</v>
      </c>
      <c r="E4" s="144" t="s">
        <v>11</v>
      </c>
      <c r="F4" s="144" t="s">
        <v>12</v>
      </c>
      <c r="G4" s="144" t="s">
        <v>10</v>
      </c>
      <c r="H4" s="145" t="s">
        <v>11</v>
      </c>
    </row>
    <row r="5" spans="1:8" x14ac:dyDescent="0.25">
      <c r="B5" s="499" t="s">
        <v>13</v>
      </c>
      <c r="C5" s="500"/>
      <c r="D5" s="500"/>
      <c r="E5" s="500"/>
      <c r="F5" s="500"/>
      <c r="G5" s="500"/>
      <c r="H5" s="501"/>
    </row>
    <row r="6" spans="1:8" x14ac:dyDescent="0.25">
      <c r="B6" s="502" t="s">
        <v>14</v>
      </c>
      <c r="C6" s="503"/>
      <c r="D6" s="503"/>
      <c r="E6" s="503"/>
      <c r="F6" s="503"/>
      <c r="G6" s="503"/>
      <c r="H6" s="504"/>
    </row>
    <row r="7" spans="1:8" ht="63.95" customHeight="1" x14ac:dyDescent="0.25">
      <c r="A7" s="30">
        <v>1</v>
      </c>
      <c r="B7" s="32" t="s">
        <v>15</v>
      </c>
      <c r="C7" s="143" t="s">
        <v>16</v>
      </c>
      <c r="D7" s="494">
        <v>0.95</v>
      </c>
      <c r="E7" s="495"/>
      <c r="F7" s="142">
        <v>10</v>
      </c>
      <c r="G7" s="489" t="s">
        <v>17</v>
      </c>
      <c r="H7" s="490"/>
    </row>
    <row r="8" spans="1:8" ht="60.95" customHeight="1" x14ac:dyDescent="0.25">
      <c r="A8" s="39">
        <f>A7+1</f>
        <v>2</v>
      </c>
      <c r="B8" s="32" t="s">
        <v>18</v>
      </c>
      <c r="C8" s="143" t="s">
        <v>19</v>
      </c>
      <c r="D8" s="494">
        <v>0.95</v>
      </c>
      <c r="E8" s="495"/>
      <c r="F8" s="142">
        <v>10</v>
      </c>
      <c r="G8" s="489" t="s">
        <v>20</v>
      </c>
      <c r="H8" s="490"/>
    </row>
    <row r="9" spans="1:8" x14ac:dyDescent="0.25">
      <c r="A9" s="40">
        <f>A8</f>
        <v>2</v>
      </c>
      <c r="B9" s="491" t="s">
        <v>21</v>
      </c>
      <c r="C9" s="492"/>
      <c r="D9" s="492"/>
      <c r="E9" s="492"/>
      <c r="F9" s="492"/>
      <c r="G9" s="492"/>
      <c r="H9" s="493"/>
    </row>
    <row r="10" spans="1:8" ht="72" customHeight="1" x14ac:dyDescent="0.25">
      <c r="A10" s="39">
        <f t="shared" ref="A10:A30" si="0">A9+1</f>
        <v>3</v>
      </c>
      <c r="B10" s="32" t="s">
        <v>22</v>
      </c>
      <c r="C10" s="29" t="s">
        <v>23</v>
      </c>
      <c r="D10" s="494">
        <v>1</v>
      </c>
      <c r="E10" s="495"/>
      <c r="F10" s="142">
        <v>10</v>
      </c>
      <c r="G10" s="489" t="s">
        <v>24</v>
      </c>
      <c r="H10" s="490"/>
    </row>
    <row r="11" spans="1:8" ht="63.75" customHeight="1" x14ac:dyDescent="0.25">
      <c r="A11" s="39">
        <f t="shared" si="0"/>
        <v>4</v>
      </c>
      <c r="B11" s="32" t="s">
        <v>25</v>
      </c>
      <c r="C11" s="143" t="s">
        <v>26</v>
      </c>
      <c r="D11" s="141">
        <v>0.95</v>
      </c>
      <c r="E11" s="142" t="s">
        <v>27</v>
      </c>
      <c r="F11" s="346">
        <v>5</v>
      </c>
      <c r="G11" s="475" t="s">
        <v>28</v>
      </c>
      <c r="H11" s="476"/>
    </row>
    <row r="12" spans="1:8" x14ac:dyDescent="0.25">
      <c r="A12" s="40">
        <f>A11</f>
        <v>4</v>
      </c>
      <c r="B12" s="491" t="s">
        <v>29</v>
      </c>
      <c r="C12" s="492"/>
      <c r="D12" s="492"/>
      <c r="E12" s="492"/>
      <c r="F12" s="492"/>
      <c r="G12" s="492"/>
      <c r="H12" s="493"/>
    </row>
    <row r="13" spans="1:8" ht="167.25" customHeight="1" x14ac:dyDescent="0.25">
      <c r="A13" s="39">
        <f>A12+1</f>
        <v>5</v>
      </c>
      <c r="B13" s="32" t="s">
        <v>30</v>
      </c>
      <c r="C13" s="143" t="s">
        <v>31</v>
      </c>
      <c r="D13" s="496" t="s">
        <v>32</v>
      </c>
      <c r="E13" s="497"/>
      <c r="F13" s="346">
        <v>5</v>
      </c>
      <c r="G13" s="479" t="s">
        <v>33</v>
      </c>
      <c r="H13" s="498"/>
    </row>
    <row r="14" spans="1:8" x14ac:dyDescent="0.25">
      <c r="A14" s="40">
        <f>A13</f>
        <v>5</v>
      </c>
      <c r="B14" s="491" t="s">
        <v>34</v>
      </c>
      <c r="C14" s="492"/>
      <c r="D14" s="492"/>
      <c r="E14" s="492"/>
      <c r="F14" s="492"/>
      <c r="G14" s="492"/>
      <c r="H14" s="493"/>
    </row>
    <row r="15" spans="1:8" ht="81" customHeight="1" x14ac:dyDescent="0.25">
      <c r="A15" s="39">
        <f t="shared" si="0"/>
        <v>6</v>
      </c>
      <c r="B15" s="349" t="s">
        <v>35</v>
      </c>
      <c r="C15" s="347" t="s">
        <v>36</v>
      </c>
      <c r="D15" s="84">
        <v>0.15</v>
      </c>
      <c r="E15" s="84">
        <v>0.25</v>
      </c>
      <c r="F15" s="346">
        <v>10</v>
      </c>
      <c r="G15" s="348" t="s">
        <v>37</v>
      </c>
      <c r="H15" s="348" t="s">
        <v>38</v>
      </c>
    </row>
    <row r="16" spans="1:8" ht="64.5" customHeight="1" x14ac:dyDescent="0.25">
      <c r="A16" s="39">
        <f t="shared" si="0"/>
        <v>7</v>
      </c>
      <c r="B16" s="349" t="s">
        <v>39</v>
      </c>
      <c r="C16" s="347" t="s">
        <v>36</v>
      </c>
      <c r="D16" s="84">
        <v>0.7</v>
      </c>
      <c r="E16" s="84">
        <v>0.15</v>
      </c>
      <c r="F16" s="346">
        <v>5</v>
      </c>
      <c r="G16" s="348" t="s">
        <v>40</v>
      </c>
      <c r="H16" s="348" t="s">
        <v>41</v>
      </c>
    </row>
    <row r="17" spans="1:8" ht="66.599999999999994" customHeight="1" x14ac:dyDescent="0.25">
      <c r="A17" s="39">
        <v>8</v>
      </c>
      <c r="B17" s="349" t="s">
        <v>42</v>
      </c>
      <c r="C17" s="347" t="s">
        <v>43</v>
      </c>
      <c r="D17" s="84">
        <v>0.15</v>
      </c>
      <c r="E17" s="84">
        <v>0.7</v>
      </c>
      <c r="F17" s="346">
        <v>5</v>
      </c>
      <c r="G17" s="348" t="s">
        <v>41</v>
      </c>
      <c r="H17" s="348" t="s">
        <v>44</v>
      </c>
    </row>
    <row r="18" spans="1:8" ht="75.95" customHeight="1" x14ac:dyDescent="0.25">
      <c r="A18" s="39">
        <v>9</v>
      </c>
      <c r="B18" s="349" t="s">
        <v>45</v>
      </c>
      <c r="C18" s="347" t="s">
        <v>46</v>
      </c>
      <c r="D18" s="84">
        <v>0.65</v>
      </c>
      <c r="E18" s="84">
        <v>0.55000000000000004</v>
      </c>
      <c r="F18" s="346">
        <v>3</v>
      </c>
      <c r="G18" s="348" t="s">
        <v>47</v>
      </c>
      <c r="H18" s="348" t="s">
        <v>48</v>
      </c>
    </row>
    <row r="19" spans="1:8" x14ac:dyDescent="0.25">
      <c r="A19" s="40">
        <f>A18</f>
        <v>9</v>
      </c>
      <c r="B19" s="491" t="s">
        <v>49</v>
      </c>
      <c r="C19" s="492"/>
      <c r="D19" s="492"/>
      <c r="E19" s="492"/>
      <c r="F19" s="492"/>
      <c r="G19" s="492"/>
      <c r="H19" s="493"/>
    </row>
    <row r="20" spans="1:8" ht="63.75" customHeight="1" x14ac:dyDescent="0.25">
      <c r="A20" s="39">
        <f t="shared" si="0"/>
        <v>10</v>
      </c>
      <c r="B20" s="349" t="s">
        <v>50</v>
      </c>
      <c r="C20" s="347" t="s">
        <v>51</v>
      </c>
      <c r="D20" s="346" t="s">
        <v>27</v>
      </c>
      <c r="E20" s="84">
        <v>0.5</v>
      </c>
      <c r="F20" s="346">
        <v>5</v>
      </c>
      <c r="G20" s="350" t="s">
        <v>27</v>
      </c>
      <c r="H20" s="348" t="s">
        <v>52</v>
      </c>
    </row>
    <row r="21" spans="1:8" x14ac:dyDescent="0.25">
      <c r="A21" s="40">
        <f>A20</f>
        <v>10</v>
      </c>
      <c r="B21" s="491" t="s">
        <v>53</v>
      </c>
      <c r="C21" s="492"/>
      <c r="D21" s="492"/>
      <c r="E21" s="492"/>
      <c r="F21" s="492"/>
      <c r="G21" s="492"/>
      <c r="H21" s="493"/>
    </row>
    <row r="22" spans="1:8" ht="72.75" customHeight="1" x14ac:dyDescent="0.25">
      <c r="A22" s="39">
        <v>11</v>
      </c>
      <c r="B22" s="349" t="s">
        <v>54</v>
      </c>
      <c r="C22" s="347" t="s">
        <v>55</v>
      </c>
      <c r="D22" s="84">
        <v>0.85</v>
      </c>
      <c r="E22" s="346" t="s">
        <v>27</v>
      </c>
      <c r="F22" s="346">
        <v>5</v>
      </c>
      <c r="G22" s="473" t="s">
        <v>56</v>
      </c>
      <c r="H22" s="474"/>
    </row>
    <row r="23" spans="1:8" ht="71.25" customHeight="1" x14ac:dyDescent="0.25">
      <c r="A23" s="39">
        <f t="shared" si="0"/>
        <v>12</v>
      </c>
      <c r="B23" s="349" t="s">
        <v>57</v>
      </c>
      <c r="C23" s="347" t="s">
        <v>58</v>
      </c>
      <c r="D23" s="346" t="s">
        <v>27</v>
      </c>
      <c r="E23" s="84">
        <v>0.85</v>
      </c>
      <c r="F23" s="346">
        <v>5</v>
      </c>
      <c r="G23" s="475" t="s">
        <v>56</v>
      </c>
      <c r="H23" s="476"/>
    </row>
    <row r="24" spans="1:8" ht="51.75" customHeight="1" x14ac:dyDescent="0.25">
      <c r="A24" s="39">
        <f t="shared" si="0"/>
        <v>13</v>
      </c>
      <c r="B24" s="351" t="s">
        <v>59</v>
      </c>
      <c r="C24" s="352" t="s">
        <v>58</v>
      </c>
      <c r="D24" s="477" t="s">
        <v>60</v>
      </c>
      <c r="E24" s="477"/>
      <c r="F24" s="346">
        <v>5</v>
      </c>
      <c r="G24" s="475" t="s">
        <v>61</v>
      </c>
      <c r="H24" s="476"/>
    </row>
    <row r="25" spans="1:8" ht="75" customHeight="1" x14ac:dyDescent="0.25">
      <c r="A25" s="39">
        <v>14</v>
      </c>
      <c r="B25" s="353" t="s">
        <v>62</v>
      </c>
      <c r="C25" s="353" t="s">
        <v>63</v>
      </c>
      <c r="D25" s="478" t="s">
        <v>64</v>
      </c>
      <c r="E25" s="477"/>
      <c r="F25" s="346">
        <v>10</v>
      </c>
      <c r="G25" s="479" t="s">
        <v>65</v>
      </c>
      <c r="H25" s="480"/>
    </row>
    <row r="26" spans="1:8" ht="18.600000000000001" customHeight="1" x14ac:dyDescent="0.25">
      <c r="A26" s="39"/>
      <c r="B26" s="481" t="s">
        <v>66</v>
      </c>
      <c r="C26" s="482"/>
      <c r="D26" s="483"/>
      <c r="E26" s="483"/>
      <c r="F26" s="483"/>
      <c r="G26" s="483"/>
      <c r="H26" s="484"/>
    </row>
    <row r="27" spans="1:8" ht="51.75" customHeight="1" x14ac:dyDescent="0.25">
      <c r="A27" s="39">
        <v>15</v>
      </c>
      <c r="B27" s="32" t="s">
        <v>67</v>
      </c>
      <c r="C27" s="143" t="s">
        <v>68</v>
      </c>
      <c r="D27" s="141">
        <v>0.75</v>
      </c>
      <c r="E27" s="141">
        <v>0.75</v>
      </c>
      <c r="F27" s="142">
        <v>2</v>
      </c>
      <c r="G27" s="485" t="s">
        <v>69</v>
      </c>
      <c r="H27" s="486"/>
    </row>
    <row r="28" spans="1:8" ht="18.600000000000001" customHeight="1" x14ac:dyDescent="0.25">
      <c r="A28" s="40">
        <f>A24</f>
        <v>13</v>
      </c>
      <c r="B28" s="487" t="s">
        <v>70</v>
      </c>
      <c r="C28" s="483"/>
      <c r="D28" s="483"/>
      <c r="E28" s="483"/>
      <c r="F28" s="483"/>
      <c r="G28" s="483"/>
      <c r="H28" s="484"/>
    </row>
    <row r="29" spans="1:8" ht="54.95" customHeight="1" x14ac:dyDescent="0.25">
      <c r="A29" s="39">
        <v>16</v>
      </c>
      <c r="B29" s="32" t="s">
        <v>71</v>
      </c>
      <c r="C29" s="143" t="s">
        <v>72</v>
      </c>
      <c r="D29" s="488" t="s">
        <v>73</v>
      </c>
      <c r="E29" s="488"/>
      <c r="F29" s="142">
        <v>5</v>
      </c>
      <c r="G29" s="489" t="s">
        <v>74</v>
      </c>
      <c r="H29" s="490"/>
    </row>
    <row r="30" spans="1:8" ht="49.5" customHeight="1" x14ac:dyDescent="0.25">
      <c r="A30" s="39">
        <f t="shared" si="0"/>
        <v>17</v>
      </c>
      <c r="B30" s="45" t="s">
        <v>75</v>
      </c>
      <c r="C30" s="146" t="s">
        <v>16</v>
      </c>
      <c r="D30" s="465" t="s">
        <v>76</v>
      </c>
      <c r="E30" s="465"/>
      <c r="F30" s="77">
        <v>5</v>
      </c>
      <c r="G30" s="471" t="s">
        <v>77</v>
      </c>
      <c r="H30" s="472"/>
    </row>
    <row r="31" spans="1:8" ht="68.25" customHeight="1" x14ac:dyDescent="0.25">
      <c r="A31" s="39">
        <v>18</v>
      </c>
      <c r="B31" s="110" t="s">
        <v>78</v>
      </c>
      <c r="C31" s="110" t="s">
        <v>79</v>
      </c>
      <c r="D31" s="465" t="s">
        <v>80</v>
      </c>
      <c r="E31" s="465"/>
      <c r="F31" s="111">
        <v>2</v>
      </c>
      <c r="G31" s="447" t="s">
        <v>81</v>
      </c>
      <c r="H31" s="448"/>
    </row>
    <row r="32" spans="1:8" ht="18" customHeight="1" x14ac:dyDescent="0.25">
      <c r="A32" s="39"/>
      <c r="B32" s="466" t="s">
        <v>82</v>
      </c>
      <c r="C32" s="467"/>
      <c r="D32" s="467"/>
      <c r="E32" s="467"/>
      <c r="F32" s="467"/>
      <c r="G32" s="467"/>
      <c r="H32" s="467"/>
    </row>
    <row r="33" spans="1:8" ht="78.75" customHeight="1" x14ac:dyDescent="0.25">
      <c r="A33" s="39">
        <v>19</v>
      </c>
      <c r="B33" s="354" t="s">
        <v>83</v>
      </c>
      <c r="C33" s="353" t="s">
        <v>84</v>
      </c>
      <c r="D33" s="468" t="s">
        <v>85</v>
      </c>
      <c r="E33" s="468"/>
      <c r="F33" s="355">
        <v>3</v>
      </c>
      <c r="G33" s="469" t="s">
        <v>86</v>
      </c>
      <c r="H33" s="470"/>
    </row>
    <row r="34" spans="1:8" ht="21.75" customHeight="1" x14ac:dyDescent="0.25">
      <c r="A34" s="39"/>
      <c r="B34" s="457" t="s">
        <v>87</v>
      </c>
      <c r="C34" s="458"/>
      <c r="D34" s="78"/>
      <c r="E34" s="78"/>
      <c r="F34" s="34" t="s">
        <v>10</v>
      </c>
      <c r="G34" s="461">
        <f>SUM(F7:F8, F10:F11, F13, F15:F18, F22, F24:F25, F27, F29:F31, F33:F33)</f>
        <v>100</v>
      </c>
      <c r="H34" s="462"/>
    </row>
    <row r="35" spans="1:8" ht="21.75" customHeight="1" x14ac:dyDescent="0.25">
      <c r="A35" s="39"/>
      <c r="B35" s="459"/>
      <c r="C35" s="460"/>
      <c r="D35" s="79"/>
      <c r="E35" s="79"/>
      <c r="F35" s="35" t="s">
        <v>11</v>
      </c>
      <c r="G35" s="463">
        <f>SUM(F7:F8, F10, F13, F15:F18, F20, F23:F25, F27, F29:F31, F33:F33)</f>
        <v>100</v>
      </c>
      <c r="H35" s="464"/>
    </row>
    <row r="36" spans="1:8" ht="21.75" customHeight="1" x14ac:dyDescent="0.25">
      <c r="A36" s="40">
        <f>A30</f>
        <v>17</v>
      </c>
      <c r="B36" s="441" t="s">
        <v>88</v>
      </c>
      <c r="C36" s="442"/>
      <c r="D36" s="442"/>
      <c r="E36" s="442"/>
      <c r="F36" s="442"/>
      <c r="G36" s="442"/>
      <c r="H36" s="443"/>
    </row>
    <row r="37" spans="1:8" ht="51" customHeight="1" x14ac:dyDescent="0.25">
      <c r="A37" s="40"/>
      <c r="B37" s="236" t="s">
        <v>7</v>
      </c>
      <c r="C37" s="236" t="s">
        <v>8</v>
      </c>
      <c r="D37" s="444" t="s">
        <v>89</v>
      </c>
      <c r="E37" s="444"/>
      <c r="F37" s="237" t="s">
        <v>90</v>
      </c>
      <c r="G37" s="445" t="s">
        <v>9</v>
      </c>
      <c r="H37" s="445"/>
    </row>
    <row r="38" spans="1:8" ht="110.25" customHeight="1" x14ac:dyDescent="0.25">
      <c r="A38" s="39">
        <v>20</v>
      </c>
      <c r="B38" s="238" t="s">
        <v>91</v>
      </c>
      <c r="C38" s="239" t="s">
        <v>92</v>
      </c>
      <c r="D38" s="446">
        <v>2</v>
      </c>
      <c r="E38" s="446"/>
      <c r="F38" s="240" t="s">
        <v>12</v>
      </c>
      <c r="G38" s="447" t="s">
        <v>93</v>
      </c>
      <c r="H38" s="448"/>
    </row>
    <row r="39" spans="1:8" ht="40.5" customHeight="1" x14ac:dyDescent="0.25">
      <c r="A39" s="39">
        <v>21</v>
      </c>
      <c r="B39" s="238" t="s">
        <v>94</v>
      </c>
      <c r="C39" s="239" t="s">
        <v>95</v>
      </c>
      <c r="D39" s="453">
        <v>2</v>
      </c>
      <c r="E39" s="454"/>
      <c r="F39" s="240" t="s">
        <v>12</v>
      </c>
      <c r="G39" s="449"/>
      <c r="H39" s="450"/>
    </row>
    <row r="40" spans="1:8" ht="61.5" customHeight="1" x14ac:dyDescent="0.25">
      <c r="A40" s="39">
        <v>22</v>
      </c>
      <c r="B40" s="238" t="s">
        <v>96</v>
      </c>
      <c r="C40" s="239" t="s">
        <v>97</v>
      </c>
      <c r="D40" s="453">
        <v>2</v>
      </c>
      <c r="E40" s="454"/>
      <c r="F40" s="240" t="s">
        <v>12</v>
      </c>
      <c r="G40" s="449"/>
      <c r="H40" s="450"/>
    </row>
    <row r="41" spans="1:8" ht="50.25" customHeight="1" x14ac:dyDescent="0.25">
      <c r="A41" s="39">
        <v>23</v>
      </c>
      <c r="B41" s="238" t="s">
        <v>98</v>
      </c>
      <c r="C41" s="239" t="s">
        <v>99</v>
      </c>
      <c r="D41" s="453">
        <v>2</v>
      </c>
      <c r="E41" s="454"/>
      <c r="F41" s="240" t="s">
        <v>12</v>
      </c>
      <c r="G41" s="449"/>
      <c r="H41" s="450"/>
    </row>
    <row r="42" spans="1:8" ht="85.5" customHeight="1" x14ac:dyDescent="0.25">
      <c r="A42" s="39">
        <v>24</v>
      </c>
      <c r="B42" s="238" t="s">
        <v>100</v>
      </c>
      <c r="C42" s="239" t="s">
        <v>99</v>
      </c>
      <c r="D42" s="455">
        <v>2</v>
      </c>
      <c r="E42" s="456"/>
      <c r="F42" s="240" t="s">
        <v>12</v>
      </c>
      <c r="G42" s="451"/>
      <c r="H42" s="452"/>
    </row>
    <row r="43" spans="1:8" ht="24.75" customHeight="1" x14ac:dyDescent="0.25">
      <c r="A43" s="39"/>
      <c r="B43" s="436" t="s">
        <v>101</v>
      </c>
      <c r="C43" s="437"/>
      <c r="D43" s="437"/>
      <c r="E43" s="437"/>
      <c r="F43" s="438"/>
      <c r="G43" s="439">
        <f>SUM(D38:E42)</f>
        <v>10</v>
      </c>
      <c r="H43" s="440"/>
    </row>
    <row r="44" spans="1:8" ht="24.75" customHeight="1" x14ac:dyDescent="0.25">
      <c r="B44" s="429" t="s">
        <v>102</v>
      </c>
      <c r="C44" s="430"/>
      <c r="D44" s="430"/>
      <c r="E44" s="430"/>
      <c r="F44" s="431"/>
      <c r="G44" s="432">
        <f>G34+G43</f>
        <v>110</v>
      </c>
      <c r="H44" s="433"/>
    </row>
    <row r="45" spans="1:8" x14ac:dyDescent="0.25">
      <c r="B45" s="434" t="s">
        <v>103</v>
      </c>
      <c r="C45" s="434"/>
      <c r="D45" s="434"/>
      <c r="E45" s="434"/>
      <c r="F45" s="434"/>
      <c r="G45" s="434"/>
      <c r="H45" s="434"/>
    </row>
    <row r="46" spans="1:8" x14ac:dyDescent="0.25">
      <c r="B46" s="435" t="s">
        <v>104</v>
      </c>
      <c r="C46" s="435"/>
      <c r="D46" s="435"/>
      <c r="E46" s="435"/>
      <c r="F46" s="435"/>
      <c r="G46" s="435"/>
      <c r="H46" s="435"/>
    </row>
    <row r="47" spans="1:8" ht="20.45" customHeight="1" x14ac:dyDescent="0.25"/>
  </sheetData>
  <mergeCells count="58">
    <mergeCell ref="B5:H5"/>
    <mergeCell ref="B6:H6"/>
    <mergeCell ref="D7:E7"/>
    <mergeCell ref="G7:H7"/>
    <mergeCell ref="B1:H1"/>
    <mergeCell ref="B2:H2"/>
    <mergeCell ref="B3:B4"/>
    <mergeCell ref="C3:C4"/>
    <mergeCell ref="D3:E3"/>
    <mergeCell ref="G3:H3"/>
    <mergeCell ref="B21:H21"/>
    <mergeCell ref="D8:E8"/>
    <mergeCell ref="G8:H8"/>
    <mergeCell ref="B9:H9"/>
    <mergeCell ref="D10:E10"/>
    <mergeCell ref="G10:H10"/>
    <mergeCell ref="G11:H11"/>
    <mergeCell ref="B12:H12"/>
    <mergeCell ref="D13:E13"/>
    <mergeCell ref="G13:H13"/>
    <mergeCell ref="B14:H14"/>
    <mergeCell ref="B19:H19"/>
    <mergeCell ref="D30:E30"/>
    <mergeCell ref="G30:H30"/>
    <mergeCell ref="G22:H22"/>
    <mergeCell ref="G23:H23"/>
    <mergeCell ref="D24:E24"/>
    <mergeCell ref="G24:H24"/>
    <mergeCell ref="D25:E25"/>
    <mergeCell ref="G25:H25"/>
    <mergeCell ref="B26:H26"/>
    <mergeCell ref="G27:H27"/>
    <mergeCell ref="B28:H28"/>
    <mergeCell ref="D29:E29"/>
    <mergeCell ref="G29:H29"/>
    <mergeCell ref="B34:C35"/>
    <mergeCell ref="G34:H34"/>
    <mergeCell ref="G35:H35"/>
    <mergeCell ref="D31:E31"/>
    <mergeCell ref="G31:H31"/>
    <mergeCell ref="B32:H32"/>
    <mergeCell ref="D33:E33"/>
    <mergeCell ref="G33:H33"/>
    <mergeCell ref="B36:H36"/>
    <mergeCell ref="D37:E37"/>
    <mergeCell ref="G37:H37"/>
    <mergeCell ref="D38:E38"/>
    <mergeCell ref="G38:H42"/>
    <mergeCell ref="D39:E39"/>
    <mergeCell ref="D40:E40"/>
    <mergeCell ref="D41:E41"/>
    <mergeCell ref="D42:E42"/>
    <mergeCell ref="B44:F44"/>
    <mergeCell ref="G44:H44"/>
    <mergeCell ref="B45:H45"/>
    <mergeCell ref="B46:H46"/>
    <mergeCell ref="B43:F43"/>
    <mergeCell ref="G43:H43"/>
  </mergeCells>
  <pageMargins left="0.7" right="0.7" top="0.75" bottom="0.75" header="0.3" footer="0.3"/>
  <pageSetup scale="28" orientation="portrait" r:id="rId1"/>
  <ignoredErrors>
    <ignoredError sqref="A9 A12 A14 A20" formula="1"/>
    <ignoredError sqref="G3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7123-5AD0-4261-B05A-4996F3B0740C}">
  <sheetPr>
    <tabColor theme="8" tint="0.39997558519241921"/>
    <pageSetUpPr fitToPage="1"/>
  </sheetPr>
  <dimension ref="A1:D38"/>
  <sheetViews>
    <sheetView workbookViewId="0"/>
  </sheetViews>
  <sheetFormatPr defaultColWidth="8.85546875" defaultRowHeight="15" x14ac:dyDescent="0.25"/>
  <cols>
    <col min="1" max="1" width="3.85546875" style="86" customWidth="1"/>
    <col min="2" max="2" width="49.140625" style="85" customWidth="1"/>
    <col min="3" max="3" width="26" style="85" customWidth="1"/>
    <col min="4" max="4" width="106.28515625" style="85" customWidth="1"/>
    <col min="5" max="5" width="37.5703125" style="85" customWidth="1"/>
    <col min="6" max="16384" width="8.85546875" style="85"/>
  </cols>
  <sheetData>
    <row r="1" spans="1:4" ht="35.450000000000003" customHeight="1" x14ac:dyDescent="0.25">
      <c r="B1" s="525" t="s">
        <v>105</v>
      </c>
      <c r="C1" s="526"/>
      <c r="D1" s="527"/>
    </row>
    <row r="2" spans="1:4" ht="50.25" customHeight="1" x14ac:dyDescent="0.25">
      <c r="B2" s="528" t="s">
        <v>614</v>
      </c>
      <c r="C2" s="529"/>
      <c r="D2" s="530"/>
    </row>
    <row r="3" spans="1:4" ht="30" x14ac:dyDescent="0.25">
      <c r="B3" s="241" t="s">
        <v>7</v>
      </c>
      <c r="C3" s="241" t="s">
        <v>8</v>
      </c>
      <c r="D3" s="241" t="s">
        <v>106</v>
      </c>
    </row>
    <row r="4" spans="1:4" ht="21.6" customHeight="1" x14ac:dyDescent="0.25">
      <c r="B4" s="531" t="s">
        <v>13</v>
      </c>
      <c r="C4" s="532"/>
      <c r="D4" s="533"/>
    </row>
    <row r="5" spans="1:4" x14ac:dyDescent="0.25">
      <c r="B5" s="522" t="s">
        <v>14</v>
      </c>
      <c r="C5" s="523"/>
      <c r="D5" s="524"/>
    </row>
    <row r="6" spans="1:4" ht="37.5" customHeight="1" x14ac:dyDescent="0.25">
      <c r="A6" s="86">
        <v>1</v>
      </c>
      <c r="B6" s="87" t="s">
        <v>15</v>
      </c>
      <c r="C6" s="242" t="s">
        <v>16</v>
      </c>
      <c r="D6" s="243" t="s">
        <v>515</v>
      </c>
    </row>
    <row r="7" spans="1:4" ht="81" customHeight="1" x14ac:dyDescent="0.25">
      <c r="A7" s="86">
        <v>2</v>
      </c>
      <c r="B7" s="88" t="s">
        <v>18</v>
      </c>
      <c r="C7" s="242" t="s">
        <v>19</v>
      </c>
      <c r="D7" s="244" t="s">
        <v>615</v>
      </c>
    </row>
    <row r="8" spans="1:4" x14ac:dyDescent="0.25">
      <c r="B8" s="522" t="s">
        <v>21</v>
      </c>
      <c r="C8" s="523"/>
      <c r="D8" s="524"/>
    </row>
    <row r="9" spans="1:4" ht="121.5" customHeight="1" x14ac:dyDescent="0.25">
      <c r="A9" s="89">
        <v>3</v>
      </c>
      <c r="B9" s="88" t="s">
        <v>22</v>
      </c>
      <c r="C9" s="29" t="s">
        <v>23</v>
      </c>
      <c r="D9" s="244" t="s">
        <v>107</v>
      </c>
    </row>
    <row r="10" spans="1:4" ht="68.099999999999994" customHeight="1" x14ac:dyDescent="0.25">
      <c r="A10" s="89">
        <v>4</v>
      </c>
      <c r="B10" s="88" t="s">
        <v>25</v>
      </c>
      <c r="C10" s="29" t="s">
        <v>26</v>
      </c>
      <c r="D10" s="244" t="s">
        <v>108</v>
      </c>
    </row>
    <row r="11" spans="1:4" x14ac:dyDescent="0.25">
      <c r="B11" s="522" t="s">
        <v>29</v>
      </c>
      <c r="C11" s="523"/>
      <c r="D11" s="524"/>
    </row>
    <row r="12" spans="1:4" ht="90" x14ac:dyDescent="0.25">
      <c r="A12" s="86">
        <v>5</v>
      </c>
      <c r="B12" s="88" t="s">
        <v>30</v>
      </c>
      <c r="C12" s="29" t="s">
        <v>31</v>
      </c>
      <c r="D12" s="243" t="s">
        <v>109</v>
      </c>
    </row>
    <row r="13" spans="1:4" x14ac:dyDescent="0.25">
      <c r="B13" s="522" t="s">
        <v>34</v>
      </c>
      <c r="C13" s="523"/>
      <c r="D13" s="524"/>
    </row>
    <row r="14" spans="1:4" ht="192" customHeight="1" x14ac:dyDescent="0.25">
      <c r="A14" s="86">
        <v>6</v>
      </c>
      <c r="B14" s="88" t="s">
        <v>35</v>
      </c>
      <c r="C14" s="29" t="s">
        <v>36</v>
      </c>
      <c r="D14" s="244" t="s">
        <v>110</v>
      </c>
    </row>
    <row r="15" spans="1:4" ht="165" x14ac:dyDescent="0.25">
      <c r="A15" s="86">
        <v>7</v>
      </c>
      <c r="B15" s="88" t="s">
        <v>39</v>
      </c>
      <c r="C15" s="29" t="s">
        <v>36</v>
      </c>
      <c r="D15" s="244" t="s">
        <v>111</v>
      </c>
    </row>
    <row r="16" spans="1:4" ht="174" customHeight="1" x14ac:dyDescent="0.25">
      <c r="A16" s="86">
        <v>8</v>
      </c>
      <c r="B16" s="88" t="s">
        <v>42</v>
      </c>
      <c r="C16" s="29" t="s">
        <v>43</v>
      </c>
      <c r="D16" s="245" t="s">
        <v>112</v>
      </c>
    </row>
    <row r="17" spans="1:4" ht="152.44999999999999" customHeight="1" x14ac:dyDescent="0.25">
      <c r="A17" s="86">
        <v>9</v>
      </c>
      <c r="B17" s="88" t="s">
        <v>45</v>
      </c>
      <c r="C17" s="29" t="s">
        <v>46</v>
      </c>
      <c r="D17" s="244" t="s">
        <v>113</v>
      </c>
    </row>
    <row r="18" spans="1:4" x14ac:dyDescent="0.25">
      <c r="B18" s="522" t="s">
        <v>49</v>
      </c>
      <c r="C18" s="523"/>
      <c r="D18" s="524"/>
    </row>
    <row r="19" spans="1:4" ht="66.599999999999994" customHeight="1" x14ac:dyDescent="0.25">
      <c r="A19" s="86">
        <v>10</v>
      </c>
      <c r="B19" s="242" t="s">
        <v>50</v>
      </c>
      <c r="C19" s="242" t="s">
        <v>51</v>
      </c>
      <c r="D19" s="244" t="s">
        <v>114</v>
      </c>
    </row>
    <row r="20" spans="1:4" x14ac:dyDescent="0.25">
      <c r="B20" s="522" t="s">
        <v>53</v>
      </c>
      <c r="C20" s="523"/>
      <c r="D20" s="524"/>
    </row>
    <row r="21" spans="1:4" ht="75" x14ac:dyDescent="0.25">
      <c r="A21" s="86">
        <v>11</v>
      </c>
      <c r="B21" s="88" t="s">
        <v>54</v>
      </c>
      <c r="C21" s="29" t="s">
        <v>55</v>
      </c>
      <c r="D21" s="244" t="s">
        <v>115</v>
      </c>
    </row>
    <row r="22" spans="1:4" ht="54" customHeight="1" x14ac:dyDescent="0.25">
      <c r="A22" s="86">
        <v>12</v>
      </c>
      <c r="B22" s="88" t="s">
        <v>57</v>
      </c>
      <c r="C22" s="29" t="s">
        <v>58</v>
      </c>
      <c r="D22" s="243" t="s">
        <v>116</v>
      </c>
    </row>
    <row r="23" spans="1:4" ht="78.599999999999994" customHeight="1" x14ac:dyDescent="0.25">
      <c r="A23" s="86">
        <v>13</v>
      </c>
      <c r="B23" s="90" t="s">
        <v>59</v>
      </c>
      <c r="C23" s="91" t="s">
        <v>58</v>
      </c>
      <c r="D23" s="112" t="s">
        <v>117</v>
      </c>
    </row>
    <row r="24" spans="1:4" ht="147.75" customHeight="1" x14ac:dyDescent="0.25">
      <c r="A24" s="86">
        <v>14</v>
      </c>
      <c r="B24" s="353" t="s">
        <v>62</v>
      </c>
      <c r="C24" s="353" t="s">
        <v>63</v>
      </c>
      <c r="D24" s="244" t="s">
        <v>612</v>
      </c>
    </row>
    <row r="25" spans="1:4" x14ac:dyDescent="0.25">
      <c r="B25" s="519" t="s">
        <v>66</v>
      </c>
      <c r="C25" s="520"/>
      <c r="D25" s="521"/>
    </row>
    <row r="26" spans="1:4" ht="69.95" customHeight="1" x14ac:dyDescent="0.25">
      <c r="A26" s="86">
        <v>15</v>
      </c>
      <c r="B26" s="246" t="s">
        <v>67</v>
      </c>
      <c r="C26" s="246" t="s">
        <v>68</v>
      </c>
      <c r="D26" s="244" t="s">
        <v>118</v>
      </c>
    </row>
    <row r="27" spans="1:4" x14ac:dyDescent="0.25">
      <c r="B27" s="519" t="s">
        <v>70</v>
      </c>
      <c r="C27" s="520"/>
      <c r="D27" s="521"/>
    </row>
    <row r="28" spans="1:4" ht="36" customHeight="1" x14ac:dyDescent="0.25">
      <c r="A28" s="86">
        <v>16</v>
      </c>
      <c r="B28" s="88" t="s">
        <v>71</v>
      </c>
      <c r="C28" s="29" t="s">
        <v>72</v>
      </c>
      <c r="D28" s="243" t="s">
        <v>119</v>
      </c>
    </row>
    <row r="29" spans="1:4" ht="33.75" customHeight="1" x14ac:dyDescent="0.25">
      <c r="A29" s="86">
        <v>17</v>
      </c>
      <c r="B29" s="90" t="s">
        <v>75</v>
      </c>
      <c r="C29" s="91" t="s">
        <v>16</v>
      </c>
      <c r="D29" s="243" t="s">
        <v>514</v>
      </c>
    </row>
    <row r="30" spans="1:4" ht="39" customHeight="1" x14ac:dyDescent="0.25">
      <c r="A30" s="89">
        <v>18</v>
      </c>
      <c r="B30" s="246" t="s">
        <v>78</v>
      </c>
      <c r="C30" s="246" t="s">
        <v>79</v>
      </c>
      <c r="D30" s="247" t="s">
        <v>120</v>
      </c>
    </row>
    <row r="31" spans="1:4" x14ac:dyDescent="0.25">
      <c r="A31" s="89"/>
      <c r="B31" s="519" t="s">
        <v>82</v>
      </c>
      <c r="C31" s="520"/>
      <c r="D31" s="521"/>
    </row>
    <row r="32" spans="1:4" ht="71.25" customHeight="1" x14ac:dyDescent="0.25">
      <c r="A32" s="89">
        <v>19</v>
      </c>
      <c r="B32" s="248" t="s">
        <v>83</v>
      </c>
      <c r="C32" s="239" t="s">
        <v>84</v>
      </c>
      <c r="D32" s="245" t="s">
        <v>121</v>
      </c>
    </row>
    <row r="33" spans="1:4" ht="15.75" customHeight="1" x14ac:dyDescent="0.25">
      <c r="B33" s="519" t="s">
        <v>88</v>
      </c>
      <c r="C33" s="520"/>
      <c r="D33" s="521"/>
    </row>
    <row r="34" spans="1:4" ht="105" x14ac:dyDescent="0.25">
      <c r="A34" s="86">
        <v>20</v>
      </c>
      <c r="B34" s="249" t="s">
        <v>91</v>
      </c>
      <c r="C34" s="246" t="s">
        <v>92</v>
      </c>
      <c r="D34" s="244" t="s">
        <v>122</v>
      </c>
    </row>
    <row r="35" spans="1:4" ht="69.75" customHeight="1" x14ac:dyDescent="0.25">
      <c r="A35" s="86">
        <v>21</v>
      </c>
      <c r="B35" s="250" t="s">
        <v>94</v>
      </c>
      <c r="C35" s="242" t="s">
        <v>95</v>
      </c>
      <c r="D35" s="244" t="s">
        <v>123</v>
      </c>
    </row>
    <row r="36" spans="1:4" ht="72" customHeight="1" x14ac:dyDescent="0.25">
      <c r="A36" s="86">
        <v>22</v>
      </c>
      <c r="B36" s="250" t="s">
        <v>96</v>
      </c>
      <c r="C36" s="242" t="s">
        <v>97</v>
      </c>
      <c r="D36" s="244" t="s">
        <v>124</v>
      </c>
    </row>
    <row r="37" spans="1:4" ht="69.75" customHeight="1" x14ac:dyDescent="0.25">
      <c r="A37" s="89">
        <v>23</v>
      </c>
      <c r="B37" s="249" t="s">
        <v>98</v>
      </c>
      <c r="C37" s="246" t="s">
        <v>99</v>
      </c>
      <c r="D37" s="244" t="s">
        <v>125</v>
      </c>
    </row>
    <row r="38" spans="1:4" ht="74.25" customHeight="1" x14ac:dyDescent="0.25">
      <c r="A38" s="89">
        <v>24</v>
      </c>
      <c r="B38" s="249" t="s">
        <v>100</v>
      </c>
      <c r="C38" s="246" t="s">
        <v>99</v>
      </c>
      <c r="D38" s="244" t="s">
        <v>126</v>
      </c>
    </row>
  </sheetData>
  <mergeCells count="13">
    <mergeCell ref="B11:D11"/>
    <mergeCell ref="B1:D1"/>
    <mergeCell ref="B2:D2"/>
    <mergeCell ref="B5:D5"/>
    <mergeCell ref="B8:D8"/>
    <mergeCell ref="B4:D4"/>
    <mergeCell ref="B33:D33"/>
    <mergeCell ref="B31:D31"/>
    <mergeCell ref="B13:D13"/>
    <mergeCell ref="B18:D18"/>
    <mergeCell ref="B20:D20"/>
    <mergeCell ref="B27:D27"/>
    <mergeCell ref="B25:D25"/>
  </mergeCells>
  <pageMargins left="0.45" right="0.45" top="0.75" bottom="0.5" header="0.3" footer="0.3"/>
  <pageSetup scale="57"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CA3E-B0C4-41C3-AA41-110AF7AB2158}">
  <sheetPr>
    <tabColor theme="8" tint="0.39997558519241921"/>
  </sheetPr>
  <dimension ref="A1:H51"/>
  <sheetViews>
    <sheetView zoomScaleNormal="100" workbookViewId="0">
      <selection activeCell="L55" sqref="L55"/>
    </sheetView>
  </sheetViews>
  <sheetFormatPr defaultColWidth="8.85546875" defaultRowHeight="15" x14ac:dyDescent="0.25"/>
  <cols>
    <col min="1" max="1" width="4.85546875" style="30" customWidth="1"/>
    <col min="2" max="2" width="45.28515625" style="36" customWidth="1"/>
    <col min="3" max="3" width="23.7109375" style="36" customWidth="1"/>
    <col min="4" max="4" width="8.140625" style="37" customWidth="1"/>
    <col min="5" max="5" width="7.42578125" style="37" customWidth="1"/>
    <col min="6" max="6" width="13.140625" style="37" customWidth="1"/>
    <col min="7" max="7" width="33.28515625" style="41" customWidth="1"/>
    <col min="8" max="16384" width="8.85546875" style="31"/>
  </cols>
  <sheetData>
    <row r="1" spans="1:7" ht="32.450000000000003" customHeight="1" x14ac:dyDescent="0.25">
      <c r="B1" s="558" t="s">
        <v>619</v>
      </c>
      <c r="C1" s="558"/>
      <c r="D1" s="558"/>
      <c r="E1" s="558"/>
      <c r="F1" s="558"/>
      <c r="G1" s="558"/>
    </row>
    <row r="2" spans="1:7" ht="47.1" customHeight="1" x14ac:dyDescent="0.25">
      <c r="B2" s="559" t="s">
        <v>127</v>
      </c>
      <c r="C2" s="559"/>
      <c r="D2" s="559"/>
      <c r="E2" s="559"/>
      <c r="F2" s="559"/>
      <c r="G2" s="559"/>
    </row>
    <row r="3" spans="1:7" ht="29.45" customHeight="1" x14ac:dyDescent="0.25">
      <c r="B3" s="445" t="s">
        <v>7</v>
      </c>
      <c r="C3" s="445" t="s">
        <v>8</v>
      </c>
      <c r="D3" s="445" t="s">
        <v>616</v>
      </c>
      <c r="E3" s="445"/>
      <c r="F3" s="236" t="s">
        <v>617</v>
      </c>
      <c r="G3" s="445" t="s">
        <v>128</v>
      </c>
    </row>
    <row r="4" spans="1:7" ht="25.5" customHeight="1" x14ac:dyDescent="0.25">
      <c r="B4" s="560"/>
      <c r="C4" s="560"/>
      <c r="D4" s="236" t="s">
        <v>10</v>
      </c>
      <c r="E4" s="236" t="s">
        <v>11</v>
      </c>
      <c r="F4" s="236" t="s">
        <v>12</v>
      </c>
      <c r="G4" s="445"/>
    </row>
    <row r="5" spans="1:7" ht="20.45" customHeight="1" x14ac:dyDescent="0.25">
      <c r="B5" s="543" t="s">
        <v>13</v>
      </c>
      <c r="C5" s="543"/>
      <c r="D5" s="543"/>
      <c r="E5" s="543"/>
      <c r="F5" s="543"/>
      <c r="G5" s="543"/>
    </row>
    <row r="6" spans="1:7" ht="17.25" customHeight="1" x14ac:dyDescent="0.25">
      <c r="B6" s="561" t="s">
        <v>14</v>
      </c>
      <c r="C6" s="561"/>
      <c r="D6" s="561"/>
      <c r="E6" s="561"/>
      <c r="F6" s="561"/>
      <c r="G6" s="561"/>
    </row>
    <row r="7" spans="1:7" ht="63.95" customHeight="1" x14ac:dyDescent="0.25">
      <c r="A7" s="30">
        <v>1</v>
      </c>
      <c r="B7" s="32" t="s">
        <v>15</v>
      </c>
      <c r="C7" s="143" t="s">
        <v>16</v>
      </c>
      <c r="D7" s="562">
        <v>0.95</v>
      </c>
      <c r="E7" s="563"/>
      <c r="F7" s="33">
        <v>10</v>
      </c>
      <c r="G7" s="246" t="s">
        <v>129</v>
      </c>
    </row>
    <row r="8" spans="1:7" ht="60.95" customHeight="1" x14ac:dyDescent="0.25">
      <c r="A8" s="39">
        <v>2</v>
      </c>
      <c r="B8" s="32" t="s">
        <v>18</v>
      </c>
      <c r="C8" s="143" t="s">
        <v>19</v>
      </c>
      <c r="D8" s="564">
        <v>0.95</v>
      </c>
      <c r="E8" s="565"/>
      <c r="F8" s="33">
        <v>10</v>
      </c>
      <c r="G8" s="246" t="s">
        <v>129</v>
      </c>
    </row>
    <row r="9" spans="1:7" x14ac:dyDescent="0.25">
      <c r="A9" s="40"/>
      <c r="B9" s="553" t="s">
        <v>21</v>
      </c>
      <c r="C9" s="553"/>
      <c r="D9" s="553"/>
      <c r="E9" s="553"/>
      <c r="F9" s="553"/>
      <c r="G9" s="553"/>
    </row>
    <row r="10" spans="1:7" ht="92.1" customHeight="1" x14ac:dyDescent="0.25">
      <c r="A10" s="39">
        <v>3</v>
      </c>
      <c r="B10" s="32" t="s">
        <v>22</v>
      </c>
      <c r="C10" s="29" t="s">
        <v>23</v>
      </c>
      <c r="D10" s="556">
        <v>1</v>
      </c>
      <c r="E10" s="557"/>
      <c r="F10" s="33">
        <v>10</v>
      </c>
      <c r="G10" s="246" t="s">
        <v>129</v>
      </c>
    </row>
    <row r="11" spans="1:7" ht="69.599999999999994" customHeight="1" x14ac:dyDescent="0.25">
      <c r="A11" s="39">
        <v>4</v>
      </c>
      <c r="B11" s="239" t="s">
        <v>25</v>
      </c>
      <c r="C11" s="239" t="s">
        <v>26</v>
      </c>
      <c r="D11" s="251">
        <v>0.95</v>
      </c>
      <c r="E11" s="252" t="s">
        <v>27</v>
      </c>
      <c r="F11" s="252">
        <v>5</v>
      </c>
      <c r="G11" s="246" t="s">
        <v>129</v>
      </c>
    </row>
    <row r="12" spans="1:7" x14ac:dyDescent="0.25">
      <c r="A12" s="40"/>
      <c r="B12" s="553" t="s">
        <v>29</v>
      </c>
      <c r="C12" s="553"/>
      <c r="D12" s="553"/>
      <c r="E12" s="553"/>
      <c r="F12" s="553"/>
      <c r="G12" s="553"/>
    </row>
    <row r="13" spans="1:7" ht="91.5" customHeight="1" x14ac:dyDescent="0.25">
      <c r="A13" s="39">
        <v>5</v>
      </c>
      <c r="B13" s="239" t="s">
        <v>30</v>
      </c>
      <c r="C13" s="239" t="s">
        <v>31</v>
      </c>
      <c r="D13" s="554" t="s">
        <v>32</v>
      </c>
      <c r="E13" s="554"/>
      <c r="F13" s="252">
        <v>5</v>
      </c>
      <c r="G13" s="246" t="s">
        <v>130</v>
      </c>
    </row>
    <row r="14" spans="1:7" x14ac:dyDescent="0.25">
      <c r="A14" s="40"/>
      <c r="B14" s="553" t="s">
        <v>34</v>
      </c>
      <c r="C14" s="553"/>
      <c r="D14" s="553"/>
      <c r="E14" s="553"/>
      <c r="F14" s="553"/>
      <c r="G14" s="553"/>
    </row>
    <row r="15" spans="1:7" ht="68.099999999999994" customHeight="1" x14ac:dyDescent="0.25">
      <c r="A15" s="39">
        <v>6</v>
      </c>
      <c r="B15" s="239" t="s">
        <v>35</v>
      </c>
      <c r="C15" s="239" t="s">
        <v>36</v>
      </c>
      <c r="D15" s="251">
        <v>0.15</v>
      </c>
      <c r="E15" s="251">
        <v>0.25</v>
      </c>
      <c r="F15" s="252">
        <v>10</v>
      </c>
      <c r="G15" s="246" t="s">
        <v>130</v>
      </c>
    </row>
    <row r="16" spans="1:7" ht="68.099999999999994" customHeight="1" x14ac:dyDescent="0.25">
      <c r="A16" s="39">
        <v>7</v>
      </c>
      <c r="B16" s="239" t="s">
        <v>39</v>
      </c>
      <c r="C16" s="239" t="s">
        <v>36</v>
      </c>
      <c r="D16" s="251">
        <v>0.7</v>
      </c>
      <c r="E16" s="251">
        <v>0.15</v>
      </c>
      <c r="F16" s="252">
        <v>5</v>
      </c>
      <c r="G16" s="246" t="s">
        <v>130</v>
      </c>
    </row>
    <row r="17" spans="1:8" ht="66.599999999999994" customHeight="1" x14ac:dyDescent="0.25">
      <c r="A17" s="39">
        <v>8</v>
      </c>
      <c r="B17" s="239" t="s">
        <v>42</v>
      </c>
      <c r="C17" s="239" t="s">
        <v>43</v>
      </c>
      <c r="D17" s="251">
        <v>0.15</v>
      </c>
      <c r="E17" s="251">
        <v>0.7</v>
      </c>
      <c r="F17" s="252">
        <v>5</v>
      </c>
      <c r="G17" s="246" t="s">
        <v>129</v>
      </c>
    </row>
    <row r="18" spans="1:8" ht="75.95" customHeight="1" x14ac:dyDescent="0.25">
      <c r="A18" s="39">
        <v>9</v>
      </c>
      <c r="B18" s="239" t="s">
        <v>45</v>
      </c>
      <c r="C18" s="239" t="s">
        <v>46</v>
      </c>
      <c r="D18" s="251">
        <v>0.65</v>
      </c>
      <c r="E18" s="251">
        <v>0.55000000000000004</v>
      </c>
      <c r="F18" s="252">
        <v>3</v>
      </c>
      <c r="G18" s="246" t="s">
        <v>129</v>
      </c>
    </row>
    <row r="19" spans="1:8" x14ac:dyDescent="0.25">
      <c r="A19" s="40"/>
      <c r="B19" s="553" t="s">
        <v>49</v>
      </c>
      <c r="C19" s="553"/>
      <c r="D19" s="553"/>
      <c r="E19" s="553"/>
      <c r="F19" s="553"/>
      <c r="G19" s="553"/>
    </row>
    <row r="20" spans="1:8" ht="39.75" customHeight="1" x14ac:dyDescent="0.25">
      <c r="A20" s="39">
        <v>10</v>
      </c>
      <c r="B20" s="239" t="s">
        <v>50</v>
      </c>
      <c r="C20" s="239" t="s">
        <v>51</v>
      </c>
      <c r="D20" s="252" t="s">
        <v>27</v>
      </c>
      <c r="E20" s="251">
        <v>0.5</v>
      </c>
      <c r="F20" s="252">
        <v>5</v>
      </c>
      <c r="G20" s="246" t="s">
        <v>129</v>
      </c>
    </row>
    <row r="21" spans="1:8" x14ac:dyDescent="0.25">
      <c r="A21" s="40"/>
      <c r="B21" s="553" t="s">
        <v>53</v>
      </c>
      <c r="C21" s="553"/>
      <c r="D21" s="553"/>
      <c r="E21" s="553"/>
      <c r="F21" s="553"/>
      <c r="G21" s="553"/>
    </row>
    <row r="22" spans="1:8" ht="44.25" customHeight="1" x14ac:dyDescent="0.25">
      <c r="A22" s="39">
        <v>11</v>
      </c>
      <c r="B22" s="239" t="s">
        <v>54</v>
      </c>
      <c r="C22" s="239" t="s">
        <v>55</v>
      </c>
      <c r="D22" s="251">
        <v>0.85</v>
      </c>
      <c r="E22" s="252" t="s">
        <v>27</v>
      </c>
      <c r="F22" s="252">
        <v>5</v>
      </c>
      <c r="G22" s="246" t="s">
        <v>130</v>
      </c>
    </row>
    <row r="23" spans="1:8" ht="39" customHeight="1" x14ac:dyDescent="0.25">
      <c r="A23" s="39">
        <v>12</v>
      </c>
      <c r="B23" s="239" t="s">
        <v>57</v>
      </c>
      <c r="C23" s="239" t="s">
        <v>58</v>
      </c>
      <c r="D23" s="252" t="s">
        <v>27</v>
      </c>
      <c r="E23" s="251">
        <v>0.85</v>
      </c>
      <c r="F23" s="252">
        <v>5</v>
      </c>
      <c r="G23" s="246" t="s">
        <v>130</v>
      </c>
    </row>
    <row r="24" spans="1:8" ht="47.45" customHeight="1" x14ac:dyDescent="0.25">
      <c r="A24" s="39">
        <v>13</v>
      </c>
      <c r="B24" s="239" t="s">
        <v>59</v>
      </c>
      <c r="C24" s="239" t="s">
        <v>58</v>
      </c>
      <c r="D24" s="544" t="s">
        <v>60</v>
      </c>
      <c r="E24" s="544"/>
      <c r="F24" s="252">
        <v>5</v>
      </c>
      <c r="G24" s="246" t="s">
        <v>129</v>
      </c>
    </row>
    <row r="25" spans="1:8" s="92" customFormat="1" ht="61.5" customHeight="1" x14ac:dyDescent="0.25">
      <c r="A25" s="39">
        <v>14</v>
      </c>
      <c r="B25" s="246" t="s">
        <v>62</v>
      </c>
      <c r="C25" s="246" t="s">
        <v>63</v>
      </c>
      <c r="D25" s="555" t="s">
        <v>64</v>
      </c>
      <c r="E25" s="552"/>
      <c r="F25" s="252">
        <v>10</v>
      </c>
      <c r="G25" s="246" t="s">
        <v>130</v>
      </c>
    </row>
    <row r="26" spans="1:8" ht="18.600000000000001" customHeight="1" x14ac:dyDescent="0.25">
      <c r="A26" s="39"/>
      <c r="B26" s="543" t="s">
        <v>66</v>
      </c>
      <c r="C26" s="543"/>
      <c r="D26" s="543"/>
      <c r="E26" s="543"/>
      <c r="F26" s="543"/>
      <c r="G26" s="543"/>
    </row>
    <row r="27" spans="1:8" ht="51.75" customHeight="1" x14ac:dyDescent="0.25">
      <c r="A27" s="39">
        <v>15</v>
      </c>
      <c r="B27" s="239" t="s">
        <v>67</v>
      </c>
      <c r="C27" s="239" t="s">
        <v>68</v>
      </c>
      <c r="D27" s="251">
        <v>0.75</v>
      </c>
      <c r="E27" s="251">
        <v>0.75</v>
      </c>
      <c r="F27" s="252">
        <v>2</v>
      </c>
      <c r="G27" s="246" t="s">
        <v>129</v>
      </c>
    </row>
    <row r="28" spans="1:8" ht="18.600000000000001" customHeight="1" x14ac:dyDescent="0.25">
      <c r="A28" s="40"/>
      <c r="B28" s="543" t="s">
        <v>70</v>
      </c>
      <c r="C28" s="543"/>
      <c r="D28" s="543"/>
      <c r="E28" s="543"/>
      <c r="F28" s="543"/>
      <c r="G28" s="543"/>
    </row>
    <row r="29" spans="1:8" ht="54.95" customHeight="1" x14ac:dyDescent="0.25">
      <c r="A29" s="39">
        <v>16</v>
      </c>
      <c r="B29" s="239" t="s">
        <v>71</v>
      </c>
      <c r="C29" s="239" t="s">
        <v>131</v>
      </c>
      <c r="D29" s="544" t="s">
        <v>73</v>
      </c>
      <c r="E29" s="544"/>
      <c r="F29" s="252">
        <v>5</v>
      </c>
      <c r="G29" s="246" t="s">
        <v>129</v>
      </c>
    </row>
    <row r="30" spans="1:8" ht="49.5" customHeight="1" x14ac:dyDescent="0.25">
      <c r="A30" s="39">
        <v>17</v>
      </c>
      <c r="B30" s="239" t="s">
        <v>75</v>
      </c>
      <c r="C30" s="239" t="s">
        <v>16</v>
      </c>
      <c r="D30" s="544" t="s">
        <v>76</v>
      </c>
      <c r="E30" s="544"/>
      <c r="F30" s="252">
        <v>5</v>
      </c>
      <c r="G30" s="246" t="s">
        <v>129</v>
      </c>
    </row>
    <row r="31" spans="1:8" ht="74.25" customHeight="1" x14ac:dyDescent="0.25">
      <c r="A31" s="39">
        <v>18</v>
      </c>
      <c r="B31" s="239" t="s">
        <v>78</v>
      </c>
      <c r="C31" s="239" t="s">
        <v>79</v>
      </c>
      <c r="D31" s="551" t="s">
        <v>80</v>
      </c>
      <c r="E31" s="552"/>
      <c r="F31" s="252">
        <v>2</v>
      </c>
      <c r="G31" s="246" t="s">
        <v>129</v>
      </c>
    </row>
    <row r="32" spans="1:8" ht="21" customHeight="1" x14ac:dyDescent="0.25">
      <c r="A32" s="39"/>
      <c r="B32" s="543" t="s">
        <v>82</v>
      </c>
      <c r="C32" s="543"/>
      <c r="D32" s="543"/>
      <c r="E32" s="543"/>
      <c r="F32" s="543"/>
      <c r="G32" s="543"/>
      <c r="H32" s="80"/>
    </row>
    <row r="33" spans="1:7" ht="70.5" customHeight="1" x14ac:dyDescent="0.25">
      <c r="A33" s="39">
        <v>19</v>
      </c>
      <c r="B33" s="239" t="s">
        <v>83</v>
      </c>
      <c r="C33" s="239" t="s">
        <v>84</v>
      </c>
      <c r="D33" s="544" t="s">
        <v>85</v>
      </c>
      <c r="E33" s="544"/>
      <c r="F33" s="252">
        <v>3</v>
      </c>
      <c r="G33" s="246" t="s">
        <v>129</v>
      </c>
    </row>
    <row r="34" spans="1:7" ht="21.6" customHeight="1" x14ac:dyDescent="0.25">
      <c r="A34" s="39"/>
      <c r="B34" s="545" t="s">
        <v>87</v>
      </c>
      <c r="C34" s="545"/>
      <c r="D34" s="545"/>
      <c r="E34" s="545"/>
      <c r="F34" s="253" t="s">
        <v>10</v>
      </c>
      <c r="G34" s="254">
        <f>SUM(F7:F8,F10:F11,F13,F15:F18,F22,F24:F25,F27,F29:F31,F33)</f>
        <v>100</v>
      </c>
    </row>
    <row r="35" spans="1:7" ht="24.6" customHeight="1" x14ac:dyDescent="0.25">
      <c r="A35" s="39"/>
      <c r="B35" s="545"/>
      <c r="C35" s="545"/>
      <c r="D35" s="545"/>
      <c r="E35" s="545"/>
      <c r="F35" s="253" t="s">
        <v>11</v>
      </c>
      <c r="G35" s="254">
        <f>SUM(F7:F8,F10,F13,F15:F18,F20,F23:F25,F27,F29:F31,F33)</f>
        <v>100</v>
      </c>
    </row>
    <row r="36" spans="1:7" ht="20.100000000000001" customHeight="1" x14ac:dyDescent="0.25">
      <c r="A36" s="40"/>
      <c r="B36" s="538" t="s">
        <v>88</v>
      </c>
      <c r="C36" s="538"/>
      <c r="D36" s="538"/>
      <c r="E36" s="538"/>
      <c r="F36" s="538"/>
      <c r="G36" s="538"/>
    </row>
    <row r="37" spans="1:7" ht="36.950000000000003" customHeight="1" x14ac:dyDescent="0.25">
      <c r="A37" s="40"/>
      <c r="B37" s="236" t="s">
        <v>7</v>
      </c>
      <c r="C37" s="236" t="s">
        <v>8</v>
      </c>
      <c r="D37" s="445" t="s">
        <v>132</v>
      </c>
      <c r="E37" s="445"/>
      <c r="F37" s="236" t="s">
        <v>90</v>
      </c>
      <c r="G37" s="236" t="s">
        <v>128</v>
      </c>
    </row>
    <row r="38" spans="1:7" ht="37.5" customHeight="1" x14ac:dyDescent="0.25">
      <c r="A38" s="39">
        <v>20</v>
      </c>
      <c r="B38" s="238" t="s">
        <v>91</v>
      </c>
      <c r="C38" s="239" t="s">
        <v>92</v>
      </c>
      <c r="D38" s="546">
        <v>2</v>
      </c>
      <c r="E38" s="546"/>
      <c r="F38" s="252" t="s">
        <v>12</v>
      </c>
      <c r="G38" s="239" t="s">
        <v>133</v>
      </c>
    </row>
    <row r="39" spans="1:7" ht="40.5" customHeight="1" x14ac:dyDescent="0.25">
      <c r="A39" s="39">
        <v>21</v>
      </c>
      <c r="B39" s="238" t="s">
        <v>94</v>
      </c>
      <c r="C39" s="239" t="s">
        <v>95</v>
      </c>
      <c r="D39" s="546">
        <v>2</v>
      </c>
      <c r="E39" s="546"/>
      <c r="F39" s="252" t="s">
        <v>12</v>
      </c>
      <c r="G39" s="239" t="s">
        <v>133</v>
      </c>
    </row>
    <row r="40" spans="1:7" ht="30" x14ac:dyDescent="0.25">
      <c r="A40" s="39">
        <v>22</v>
      </c>
      <c r="B40" s="238" t="s">
        <v>96</v>
      </c>
      <c r="C40" s="239" t="s">
        <v>97</v>
      </c>
      <c r="D40" s="546">
        <v>2</v>
      </c>
      <c r="E40" s="546"/>
      <c r="F40" s="252" t="s">
        <v>12</v>
      </c>
      <c r="G40" s="239" t="s">
        <v>133</v>
      </c>
    </row>
    <row r="41" spans="1:7" ht="39.6" customHeight="1" x14ac:dyDescent="0.25">
      <c r="A41" s="39">
        <v>23</v>
      </c>
      <c r="B41" s="238" t="s">
        <v>98</v>
      </c>
      <c r="C41" s="239" t="s">
        <v>99</v>
      </c>
      <c r="D41" s="546">
        <v>2</v>
      </c>
      <c r="E41" s="546"/>
      <c r="F41" s="252" t="s">
        <v>12</v>
      </c>
      <c r="G41" s="239" t="s">
        <v>133</v>
      </c>
    </row>
    <row r="42" spans="1:7" ht="33.950000000000003" customHeight="1" x14ac:dyDescent="0.25">
      <c r="A42" s="39">
        <v>24</v>
      </c>
      <c r="B42" s="238" t="s">
        <v>100</v>
      </c>
      <c r="C42" s="239" t="s">
        <v>99</v>
      </c>
      <c r="D42" s="547">
        <v>2</v>
      </c>
      <c r="E42" s="547"/>
      <c r="F42" s="252" t="s">
        <v>12</v>
      </c>
      <c r="G42" s="239" t="s">
        <v>133</v>
      </c>
    </row>
    <row r="43" spans="1:7" ht="25.5" customHeight="1" x14ac:dyDescent="0.25">
      <c r="B43" s="548" t="s">
        <v>134</v>
      </c>
      <c r="C43" s="549"/>
      <c r="D43" s="549"/>
      <c r="E43" s="549"/>
      <c r="F43" s="550"/>
      <c r="G43" s="255">
        <f>SUM(D38:E42)</f>
        <v>10</v>
      </c>
    </row>
    <row r="44" spans="1:7" ht="27.75" customHeight="1" x14ac:dyDescent="0.25">
      <c r="B44" s="540" t="s">
        <v>102</v>
      </c>
      <c r="C44" s="541"/>
      <c r="D44" s="541"/>
      <c r="E44" s="541"/>
      <c r="F44" s="542"/>
      <c r="G44" s="256">
        <f>SUM(G35+G43)</f>
        <v>110</v>
      </c>
    </row>
    <row r="45" spans="1:7" x14ac:dyDescent="0.25">
      <c r="B45" s="41"/>
      <c r="C45" s="41"/>
      <c r="D45" s="41"/>
      <c r="E45" s="41"/>
      <c r="F45" s="41"/>
    </row>
    <row r="46" spans="1:7" ht="21.6" customHeight="1" x14ac:dyDescent="0.25">
      <c r="B46" s="537" t="s">
        <v>135</v>
      </c>
      <c r="C46" s="537"/>
      <c r="D46" s="537"/>
      <c r="E46" s="537"/>
      <c r="F46" s="537"/>
      <c r="G46" s="537"/>
    </row>
    <row r="47" spans="1:7" x14ac:dyDescent="0.25">
      <c r="B47" s="538" t="s">
        <v>136</v>
      </c>
      <c r="C47" s="538"/>
      <c r="D47" s="538"/>
      <c r="E47" s="538"/>
      <c r="F47" s="538"/>
      <c r="G47" s="538"/>
    </row>
    <row r="48" spans="1:7" ht="18.75" customHeight="1" x14ac:dyDescent="0.25">
      <c r="B48" s="257" t="s">
        <v>128</v>
      </c>
      <c r="C48" s="539" t="s">
        <v>137</v>
      </c>
      <c r="D48" s="539"/>
      <c r="E48" s="539" t="s">
        <v>138</v>
      </c>
      <c r="F48" s="539"/>
      <c r="G48" s="257" t="s">
        <v>620</v>
      </c>
    </row>
    <row r="49" spans="2:7" x14ac:dyDescent="0.25">
      <c r="B49" s="258" t="s">
        <v>129</v>
      </c>
      <c r="C49" s="536">
        <f>G35</f>
        <v>100</v>
      </c>
      <c r="D49" s="534"/>
      <c r="E49" s="535">
        <f>SUM(C49/G35)</f>
        <v>1</v>
      </c>
      <c r="F49" s="535"/>
      <c r="G49" s="708">
        <v>0.5</v>
      </c>
    </row>
    <row r="50" spans="2:7" x14ac:dyDescent="0.25">
      <c r="B50" s="258" t="s">
        <v>139</v>
      </c>
      <c r="C50" s="534">
        <f>SUM(F13,F15:F16,F22:F23,F25)</f>
        <v>40</v>
      </c>
      <c r="D50" s="534"/>
      <c r="E50" s="535">
        <f>SUM(C50/G35)</f>
        <v>0.4</v>
      </c>
      <c r="F50" s="535"/>
      <c r="G50" s="708">
        <v>0.25</v>
      </c>
    </row>
    <row r="51" spans="2:7" x14ac:dyDescent="0.25">
      <c r="B51" s="258" t="s">
        <v>140</v>
      </c>
      <c r="C51" s="536">
        <f>SUM(D38:D42)</f>
        <v>10</v>
      </c>
      <c r="D51" s="534"/>
      <c r="E51" s="535">
        <f>SUM(C51/G43)</f>
        <v>1</v>
      </c>
      <c r="F51" s="535"/>
      <c r="G51" s="259" t="s">
        <v>141</v>
      </c>
    </row>
  </sheetData>
  <mergeCells count="46">
    <mergeCell ref="D10:E10"/>
    <mergeCell ref="B1:G1"/>
    <mergeCell ref="B2:G2"/>
    <mergeCell ref="B3:B4"/>
    <mergeCell ref="C3:C4"/>
    <mergeCell ref="D3:E3"/>
    <mergeCell ref="G3:G4"/>
    <mergeCell ref="B5:G5"/>
    <mergeCell ref="B6:G6"/>
    <mergeCell ref="D7:E7"/>
    <mergeCell ref="D8:E8"/>
    <mergeCell ref="B9:G9"/>
    <mergeCell ref="D31:E31"/>
    <mergeCell ref="B12:G12"/>
    <mergeCell ref="D13:E13"/>
    <mergeCell ref="B14:G14"/>
    <mergeCell ref="B19:G19"/>
    <mergeCell ref="B21:G21"/>
    <mergeCell ref="D24:E24"/>
    <mergeCell ref="D25:E25"/>
    <mergeCell ref="B26:G26"/>
    <mergeCell ref="B28:G28"/>
    <mergeCell ref="D29:E29"/>
    <mergeCell ref="D30:E30"/>
    <mergeCell ref="B44:F44"/>
    <mergeCell ref="B32:G32"/>
    <mergeCell ref="D33:E33"/>
    <mergeCell ref="B34:E35"/>
    <mergeCell ref="B36:G36"/>
    <mergeCell ref="D37:E37"/>
    <mergeCell ref="D38:E38"/>
    <mergeCell ref="D39:E39"/>
    <mergeCell ref="D40:E40"/>
    <mergeCell ref="D41:E41"/>
    <mergeCell ref="D42:E42"/>
    <mergeCell ref="B43:F43"/>
    <mergeCell ref="C50:D50"/>
    <mergeCell ref="E50:F50"/>
    <mergeCell ref="C51:D51"/>
    <mergeCell ref="E51:F51"/>
    <mergeCell ref="B46:G46"/>
    <mergeCell ref="B47:G47"/>
    <mergeCell ref="C48:D48"/>
    <mergeCell ref="E48:F48"/>
    <mergeCell ref="C49:D49"/>
    <mergeCell ref="E49:F49"/>
  </mergeCells>
  <pageMargins left="0.7" right="0.7" top="0.75" bottom="0.75" header="0.3" footer="0.3"/>
  <pageSetup orientation="portrait" r:id="rId1"/>
  <ignoredErrors>
    <ignoredError sqref="G3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Q66"/>
  <sheetViews>
    <sheetView workbookViewId="0">
      <selection activeCell="N56" sqref="N56"/>
    </sheetView>
  </sheetViews>
  <sheetFormatPr defaultColWidth="8.7109375" defaultRowHeight="15" x14ac:dyDescent="0.25"/>
  <cols>
    <col min="1" max="1" width="3.42578125" style="8" customWidth="1"/>
    <col min="2" max="2" width="5.85546875" style="4" customWidth="1"/>
    <col min="3" max="3" width="16.42578125" style="8" customWidth="1"/>
    <col min="4" max="4" width="20.7109375" style="8" customWidth="1"/>
    <col min="5" max="5" width="8.7109375" style="8" customWidth="1"/>
    <col min="6" max="6" width="16.7109375" style="8" customWidth="1"/>
    <col min="7" max="7" width="10.42578125" style="8" customWidth="1"/>
    <col min="8" max="8" width="19.140625" style="10" customWidth="1"/>
    <col min="9" max="9" width="13" style="10" customWidth="1"/>
    <col min="10" max="10" width="9.85546875" style="10" customWidth="1"/>
    <col min="11" max="11" width="14.85546875" style="10" customWidth="1"/>
    <col min="12" max="12" width="0.5703125" style="8" customWidth="1"/>
    <col min="13" max="13" width="3.42578125" style="8" customWidth="1"/>
    <col min="14" max="14" width="32.7109375" style="15" customWidth="1"/>
    <col min="15" max="15" width="29.28515625" style="15" customWidth="1"/>
    <col min="16" max="17" width="8.7109375" style="15"/>
    <col min="18" max="16384" width="8.7109375" style="8"/>
  </cols>
  <sheetData>
    <row r="1" spans="1:15" ht="47.25" customHeight="1" x14ac:dyDescent="0.25">
      <c r="I1" s="260" t="s">
        <v>215</v>
      </c>
      <c r="J1" s="261" t="s">
        <v>143</v>
      </c>
    </row>
    <row r="2" spans="1:15" x14ac:dyDescent="0.25">
      <c r="A2" s="9"/>
      <c r="B2" s="42"/>
      <c r="C2" s="9"/>
      <c r="D2" s="9"/>
      <c r="E2" s="9"/>
      <c r="F2" s="9"/>
      <c r="G2" s="9"/>
      <c r="H2" s="11"/>
      <c r="I2" s="11"/>
      <c r="J2" s="11"/>
      <c r="K2" s="11"/>
      <c r="L2" s="9"/>
      <c r="M2" s="9"/>
    </row>
    <row r="3" spans="1:15" ht="15.75" x14ac:dyDescent="0.25">
      <c r="A3" s="9"/>
      <c r="C3" s="629" t="s">
        <v>635</v>
      </c>
      <c r="D3" s="630"/>
      <c r="E3" s="630"/>
      <c r="F3" s="630"/>
      <c r="G3" s="630"/>
      <c r="H3" s="630"/>
      <c r="I3" s="630"/>
      <c r="J3" s="630"/>
      <c r="K3" s="631"/>
      <c r="L3" s="5"/>
      <c r="M3" s="6"/>
    </row>
    <row r="4" spans="1:15" ht="6" customHeight="1" x14ac:dyDescent="0.25">
      <c r="A4" s="9"/>
      <c r="C4" s="5"/>
      <c r="D4" s="5"/>
      <c r="E4" s="5"/>
      <c r="F4" s="5"/>
      <c r="G4" s="5"/>
      <c r="H4" s="4"/>
      <c r="I4" s="4"/>
      <c r="J4" s="4"/>
      <c r="K4" s="4"/>
      <c r="L4" s="5"/>
      <c r="M4" s="6"/>
    </row>
    <row r="5" spans="1:15" x14ac:dyDescent="0.25">
      <c r="A5" s="9"/>
      <c r="C5" s="262" t="s">
        <v>144</v>
      </c>
      <c r="D5" s="263" t="str">
        <f>VLOOKUP($I$1,'vlookup- do not delete'!A1:D8,2,FALSE)</f>
        <v>TEST AGENCY</v>
      </c>
      <c r="E5" s="264"/>
      <c r="F5" s="262" t="s">
        <v>145</v>
      </c>
      <c r="G5" s="263" t="str">
        <f>VLOOKUP($I$1,'vlookup- do not delete'!A1:D8,1,FALSE)</f>
        <v>TEST PSH</v>
      </c>
      <c r="H5" s="265"/>
      <c r="I5" s="262" t="s">
        <v>633</v>
      </c>
      <c r="J5" s="642" t="s">
        <v>632</v>
      </c>
      <c r="K5" s="643"/>
      <c r="L5" s="5"/>
      <c r="M5" s="6"/>
    </row>
    <row r="6" spans="1:15" ht="15" hidden="1" customHeight="1" x14ac:dyDescent="0.25">
      <c r="A6" s="9"/>
      <c r="C6" s="262" t="s">
        <v>146</v>
      </c>
      <c r="D6" s="24" t="e">
        <f>VLOOKUP($I$1,#REF!,#REF!,FALSE)</f>
        <v>#REF!</v>
      </c>
      <c r="E6" s="5"/>
      <c r="F6" s="266"/>
      <c r="G6" s="5"/>
      <c r="H6" s="4"/>
      <c r="I6" s="13"/>
      <c r="J6" s="25"/>
      <c r="K6" s="16"/>
      <c r="L6" s="5"/>
      <c r="M6" s="6"/>
    </row>
    <row r="7" spans="1:15" x14ac:dyDescent="0.25">
      <c r="A7" s="9"/>
      <c r="C7" s="262" t="s">
        <v>147</v>
      </c>
      <c r="D7" s="263" t="str">
        <f>VLOOKUP($I$1,'vlookup- do not delete'!A1:D8,3,FALSE)</f>
        <v>TEST PROJECT PSH</v>
      </c>
      <c r="E7" s="264"/>
      <c r="F7" s="262" t="s">
        <v>148</v>
      </c>
      <c r="G7" s="267" t="str">
        <f>VLOOKUP($I$1,'vlookup- do not delete'!A1:D8,4,FALSE)</f>
        <v>PSH</v>
      </c>
      <c r="H7" s="268"/>
      <c r="I7" s="269" t="s">
        <v>149</v>
      </c>
      <c r="J7" s="644" t="str">
        <f>VLOOKUP(I$1,'Scoring Calculator'!$A$5:$BF$10,COLUMN('Scoring Calculator'!D1),FALSE)</f>
        <v>Tenant-Based</v>
      </c>
      <c r="K7" s="645"/>
      <c r="L7" s="5"/>
      <c r="M7" s="6"/>
    </row>
    <row r="8" spans="1:15" ht="5.25" customHeight="1" x14ac:dyDescent="0.25">
      <c r="A8" s="9"/>
      <c r="G8" s="5"/>
      <c r="L8" s="5"/>
      <c r="M8" s="6"/>
    </row>
    <row r="9" spans="1:15" x14ac:dyDescent="0.25">
      <c r="A9" s="9"/>
      <c r="D9" s="113" t="s">
        <v>150</v>
      </c>
      <c r="E9" s="270">
        <f>VLOOKUP($I$1,'Raw Project Data'!A3:CM10,COLUMN('Raw Project Data'!U1),FALSE)</f>
        <v>24</v>
      </c>
      <c r="F9" s="271"/>
      <c r="G9" s="272"/>
      <c r="H9" s="273"/>
      <c r="I9" s="269" t="s">
        <v>151</v>
      </c>
      <c r="J9" s="270">
        <f>VLOOKUP($I$1,'Raw Project Data'!A3:CM10,COLUMN('Raw Project Data'!AC1),FALSE)</f>
        <v>23</v>
      </c>
      <c r="M9" s="9"/>
    </row>
    <row r="10" spans="1:15" x14ac:dyDescent="0.25">
      <c r="A10" s="9"/>
      <c r="C10" s="271"/>
      <c r="D10" s="269" t="s">
        <v>152</v>
      </c>
      <c r="E10" s="270">
        <f>VLOOKUP($I$1,'Raw Project Data'!A3:CM10,COLUMN('Raw Project Data'!AD1),FALSE)</f>
        <v>20</v>
      </c>
      <c r="F10" s="274"/>
      <c r="G10" s="272"/>
      <c r="H10" s="273"/>
      <c r="I10" s="269" t="s">
        <v>153</v>
      </c>
      <c r="J10" s="275">
        <f>VLOOKUP($I$1,'Raw Project Data'!A3:CM10,COLUMN('Raw Project Data'!AE1),FALSE)</f>
        <v>19</v>
      </c>
      <c r="L10" s="5"/>
      <c r="M10" s="6"/>
    </row>
    <row r="11" spans="1:15" ht="3.75" customHeight="1" x14ac:dyDescent="0.25">
      <c r="A11" s="9"/>
      <c r="M11" s="9"/>
    </row>
    <row r="12" spans="1:15" ht="14.45" customHeight="1" x14ac:dyDescent="0.25">
      <c r="A12" s="9"/>
      <c r="C12" s="632" t="s">
        <v>154</v>
      </c>
      <c r="D12" s="633"/>
      <c r="E12" s="633"/>
      <c r="F12" s="633"/>
      <c r="G12" s="634"/>
      <c r="H12" s="641" t="s">
        <v>634</v>
      </c>
      <c r="I12" s="641" t="s">
        <v>155</v>
      </c>
      <c r="J12" s="641" t="s">
        <v>156</v>
      </c>
      <c r="K12" s="641" t="s">
        <v>157</v>
      </c>
      <c r="M12" s="9"/>
      <c r="N12" s="566" t="s">
        <v>609</v>
      </c>
      <c r="O12" s="567" t="s">
        <v>610</v>
      </c>
    </row>
    <row r="13" spans="1:15" x14ac:dyDescent="0.25">
      <c r="A13" s="9"/>
      <c r="C13" s="635"/>
      <c r="D13" s="636"/>
      <c r="E13" s="636"/>
      <c r="F13" s="636"/>
      <c r="G13" s="637"/>
      <c r="H13" s="641"/>
      <c r="I13" s="641"/>
      <c r="J13" s="641"/>
      <c r="K13" s="641"/>
      <c r="M13" s="9"/>
      <c r="N13" s="566"/>
      <c r="O13" s="567"/>
    </row>
    <row r="14" spans="1:15" x14ac:dyDescent="0.25">
      <c r="A14" s="9"/>
      <c r="C14" s="638"/>
      <c r="D14" s="639"/>
      <c r="E14" s="639"/>
      <c r="F14" s="639"/>
      <c r="G14" s="640"/>
      <c r="H14" s="276" t="s">
        <v>10</v>
      </c>
      <c r="I14" s="641"/>
      <c r="J14" s="641"/>
      <c r="K14" s="641"/>
      <c r="M14" s="9"/>
      <c r="N14" s="566"/>
      <c r="O14" s="567"/>
    </row>
    <row r="15" spans="1:15" x14ac:dyDescent="0.25">
      <c r="A15" s="9"/>
      <c r="C15" s="578" t="s">
        <v>13</v>
      </c>
      <c r="D15" s="579"/>
      <c r="E15" s="579"/>
      <c r="F15" s="579"/>
      <c r="G15" s="579"/>
      <c r="H15" s="579"/>
      <c r="I15" s="579"/>
      <c r="J15" s="579"/>
      <c r="K15" s="580"/>
      <c r="M15" s="9"/>
      <c r="N15" s="420"/>
      <c r="O15" s="420"/>
    </row>
    <row r="16" spans="1:15" ht="15" customHeight="1" x14ac:dyDescent="0.25">
      <c r="A16" s="9"/>
      <c r="C16" s="581" t="s">
        <v>14</v>
      </c>
      <c r="D16" s="582"/>
      <c r="E16" s="582"/>
      <c r="F16" s="582"/>
      <c r="G16" s="582"/>
      <c r="H16" s="582"/>
      <c r="I16" s="582"/>
      <c r="J16" s="582"/>
      <c r="K16" s="583"/>
      <c r="M16" s="9"/>
      <c r="N16" s="421"/>
      <c r="O16" s="421"/>
    </row>
    <row r="17" spans="1:15" ht="23.45" customHeight="1" x14ac:dyDescent="0.25">
      <c r="A17" s="9"/>
      <c r="B17" s="4">
        <v>1</v>
      </c>
      <c r="C17" s="571" t="s">
        <v>15</v>
      </c>
      <c r="D17" s="572"/>
      <c r="E17" s="572"/>
      <c r="F17" s="572"/>
      <c r="G17" s="573"/>
      <c r="H17" s="161">
        <v>0.95</v>
      </c>
      <c r="I17" s="277">
        <f>VLOOKUP(I$1,'Scoring Calculator'!$A$3:$BH$11,COLUMN('Scoring Calculator'!L1),FALSE)</f>
        <v>1</v>
      </c>
      <c r="J17" s="162">
        <f>IF(K17="N/A","N/A",10)</f>
        <v>10</v>
      </c>
      <c r="K17" s="278">
        <f>IF(I17="N/A","N/A",VLOOKUP(I$1,'Scoring Calculator'!$A$3:$BH$11,COLUMN('Scoring Calculator'!AK1),FALSE))</f>
        <v>10</v>
      </c>
      <c r="M17" s="9"/>
      <c r="N17" s="422"/>
      <c r="O17" s="423"/>
    </row>
    <row r="18" spans="1:15" ht="35.1" customHeight="1" x14ac:dyDescent="0.25">
      <c r="A18" s="9"/>
      <c r="B18" s="4">
        <v>2</v>
      </c>
      <c r="C18" s="617" t="s">
        <v>18</v>
      </c>
      <c r="D18" s="618"/>
      <c r="E18" s="618"/>
      <c r="F18" s="618"/>
      <c r="G18" s="619"/>
      <c r="H18" s="416">
        <v>0.95</v>
      </c>
      <c r="I18" s="277">
        <f>VLOOKUP(I$1,'Scoring Calculator'!$A$3:$BH$11,COLUMN('Scoring Calculator'!M1),FALSE)</f>
        <v>0.96875</v>
      </c>
      <c r="J18" s="162">
        <f>IF(K18="N/A","N/A",10)</f>
        <v>10</v>
      </c>
      <c r="K18" s="282">
        <f>IF(I18="N/A","N/A",VLOOKUP(I$1,'Scoring Calculator'!$A$3:$BH$11,COLUMN('Scoring Calculator'!AL1),FALSE))</f>
        <v>10</v>
      </c>
      <c r="M18" s="9"/>
      <c r="N18" s="422"/>
      <c r="O18" s="423"/>
    </row>
    <row r="19" spans="1:15" x14ac:dyDescent="0.25">
      <c r="A19" s="9"/>
      <c r="C19" s="611" t="s">
        <v>21</v>
      </c>
      <c r="D19" s="612"/>
      <c r="E19" s="612"/>
      <c r="F19" s="612"/>
      <c r="G19" s="612"/>
      <c r="H19" s="612"/>
      <c r="I19" s="612"/>
      <c r="J19" s="612"/>
      <c r="K19" s="613"/>
      <c r="M19" s="9"/>
      <c r="N19" s="421"/>
      <c r="O19" s="421"/>
    </row>
    <row r="20" spans="1:15" ht="33.75" customHeight="1" x14ac:dyDescent="0.25">
      <c r="A20" s="9"/>
      <c r="B20" s="4">
        <v>3</v>
      </c>
      <c r="C20" s="571" t="s">
        <v>22</v>
      </c>
      <c r="D20" s="572"/>
      <c r="E20" s="572"/>
      <c r="F20" s="572"/>
      <c r="G20" s="573"/>
      <c r="H20" s="279">
        <v>1</v>
      </c>
      <c r="I20" s="277">
        <f>VLOOKUP(I$1,'Scoring Calculator'!$A$3:$BH$11,COLUMN('Scoring Calculator'!N1),FALSE)</f>
        <v>0.76190476190476186</v>
      </c>
      <c r="J20" s="162">
        <f>IF(K20="N/A","N/A",10)</f>
        <v>10</v>
      </c>
      <c r="K20" s="278">
        <f>IF(I20="N/A","N/A",VLOOKUP(I$1,'Scoring Calculator'!$A$3:$BH$11,COLUMN('Scoring Calculator'!AM1),FALSE))</f>
        <v>0</v>
      </c>
      <c r="M20" s="9"/>
      <c r="N20" s="424"/>
      <c r="O20" s="425"/>
    </row>
    <row r="21" spans="1:15" ht="30.75" customHeight="1" x14ac:dyDescent="0.25">
      <c r="A21" s="9"/>
      <c r="B21" s="4">
        <v>4</v>
      </c>
      <c r="C21" s="614" t="s">
        <v>25</v>
      </c>
      <c r="D21" s="615"/>
      <c r="E21" s="615"/>
      <c r="F21" s="615"/>
      <c r="G21" s="616"/>
      <c r="H21" s="280">
        <v>0.95</v>
      </c>
      <c r="I21" s="114">
        <f>VLOOKUP(I$1,'Scoring Calculator'!$A$3:$BH$11,COLUMN('Scoring Calculator'!O1),FALSE)</f>
        <v>0.7</v>
      </c>
      <c r="J21" s="281">
        <f>IF(K21="N/A","N/A",5)</f>
        <v>5</v>
      </c>
      <c r="K21" s="115">
        <f>IF(I21="N/A","N/A",VLOOKUP(I$1,'Scoring Calculator'!$A$3:$BH$11,COLUMN('Scoring Calculator'!AN1),FALSE))</f>
        <v>0</v>
      </c>
      <c r="M21" s="9"/>
      <c r="N21" s="424"/>
      <c r="O21" s="425"/>
    </row>
    <row r="22" spans="1:15" x14ac:dyDescent="0.25">
      <c r="A22" s="9"/>
      <c r="C22" s="620" t="s">
        <v>29</v>
      </c>
      <c r="D22" s="621"/>
      <c r="E22" s="621"/>
      <c r="F22" s="621"/>
      <c r="G22" s="621"/>
      <c r="H22" s="621"/>
      <c r="I22" s="621"/>
      <c r="J22" s="621"/>
      <c r="K22" s="622"/>
      <c r="M22" s="9"/>
      <c r="N22" s="421"/>
      <c r="O22" s="421"/>
    </row>
    <row r="23" spans="1:15" ht="51.75" customHeight="1" x14ac:dyDescent="0.25">
      <c r="A23" s="9"/>
      <c r="B23" s="4">
        <v>5</v>
      </c>
      <c r="C23" s="571" t="s">
        <v>30</v>
      </c>
      <c r="D23" s="572"/>
      <c r="E23" s="572"/>
      <c r="F23" s="572"/>
      <c r="G23" s="573"/>
      <c r="H23" s="414" t="s">
        <v>158</v>
      </c>
      <c r="I23" s="282">
        <f>VLOOKUP(I$1,'Scoring Calculator'!$A$3:$BH$11,COLUMN('Scoring Calculator'!P1),FALSE)</f>
        <v>5.14</v>
      </c>
      <c r="J23" s="415">
        <f>IF(K23="N/A","N/A",5)</f>
        <v>5</v>
      </c>
      <c r="K23" s="415">
        <f>IF(I23="N/A","N/A",VLOOKUP(I$1,'Scoring Calculator'!$A$3:$BH$11,COLUMN('Scoring Calculator'!AO1),FALSE))</f>
        <v>5</v>
      </c>
      <c r="M23" s="9"/>
      <c r="N23" s="424"/>
      <c r="O23" s="425"/>
    </row>
    <row r="24" spans="1:15" x14ac:dyDescent="0.25">
      <c r="A24" s="9"/>
      <c r="C24" s="620" t="s">
        <v>34</v>
      </c>
      <c r="D24" s="621"/>
      <c r="E24" s="621"/>
      <c r="F24" s="621"/>
      <c r="G24" s="621"/>
      <c r="H24" s="621"/>
      <c r="I24" s="621"/>
      <c r="J24" s="621"/>
      <c r="K24" s="622"/>
      <c r="M24" s="9"/>
      <c r="N24" s="421"/>
      <c r="O24" s="421"/>
    </row>
    <row r="25" spans="1:15" ht="37.5" customHeight="1" x14ac:dyDescent="0.25">
      <c r="A25" s="9"/>
      <c r="B25" s="4">
        <v>6</v>
      </c>
      <c r="C25" s="623" t="s">
        <v>35</v>
      </c>
      <c r="D25" s="624"/>
      <c r="E25" s="624"/>
      <c r="F25" s="624"/>
      <c r="G25" s="625"/>
      <c r="H25" s="283">
        <v>0.15</v>
      </c>
      <c r="I25" s="284">
        <f>VLOOKUP(I$1,'Scoring Calculator'!$A$3:$BH$11,COLUMN('Scoring Calculator'!Q1),FALSE)</f>
        <v>0.33333333333333331</v>
      </c>
      <c r="J25" s="285">
        <f>IF(K25="N/A","N/A",10)</f>
        <v>10</v>
      </c>
      <c r="K25" s="286">
        <f>IF(I25="N/A","N/A",VLOOKUP(I$1,'Scoring Calculator'!$A$3:$BH$11,COLUMN('Scoring Calculator'!AP1),FALSE))</f>
        <v>10</v>
      </c>
      <c r="M25" s="9"/>
      <c r="N25" s="424"/>
      <c r="O25" s="425"/>
    </row>
    <row r="26" spans="1:15" ht="37.5" customHeight="1" x14ac:dyDescent="0.25">
      <c r="A26" s="9"/>
      <c r="B26" s="4">
        <v>7</v>
      </c>
      <c r="C26" s="571" t="s">
        <v>39</v>
      </c>
      <c r="D26" s="572"/>
      <c r="E26" s="572"/>
      <c r="F26" s="572"/>
      <c r="G26" s="573"/>
      <c r="H26" s="279">
        <v>0.7</v>
      </c>
      <c r="I26" s="287">
        <f>VLOOKUP(I$1,'Scoring Calculator'!$A$3:$BH$11,COLUMN('Scoring Calculator'!R1),FALSE)</f>
        <v>0.33333333333333331</v>
      </c>
      <c r="J26" s="288">
        <f>IF(K26="N/A","N/A",5)</f>
        <v>5</v>
      </c>
      <c r="K26" s="278">
        <f>IF(I26="N/A","N/A",VLOOKUP(I$1,'Scoring Calculator'!$A$3:$BH$11,COLUMN('Scoring Calculator'!AQ1),FALSE))</f>
        <v>0</v>
      </c>
      <c r="M26" s="9"/>
      <c r="N26" s="424"/>
      <c r="O26" s="425"/>
    </row>
    <row r="27" spans="1:15" ht="37.5" customHeight="1" x14ac:dyDescent="0.25">
      <c r="A27" s="9"/>
      <c r="B27" s="4">
        <v>8</v>
      </c>
      <c r="C27" s="626" t="s">
        <v>42</v>
      </c>
      <c r="D27" s="627"/>
      <c r="E27" s="627"/>
      <c r="F27" s="627"/>
      <c r="G27" s="628"/>
      <c r="H27" s="289">
        <v>0.15</v>
      </c>
      <c r="I27" s="287">
        <f>VLOOKUP(I$1,'Scoring Calculator'!$A$3:$BH$11,COLUMN('Scoring Calculator'!S1),FALSE)</f>
        <v>0.77777777777777779</v>
      </c>
      <c r="J27" s="288">
        <f>IF(K27="N/A","N/A",5)</f>
        <v>5</v>
      </c>
      <c r="K27" s="290">
        <f>IF(I27="N/A","N/A",VLOOKUP(I$1,'Scoring Calculator'!$A$3:$BH$11,COLUMN('Scoring Calculator'!AR1),FALSE))</f>
        <v>5</v>
      </c>
      <c r="M27" s="9"/>
      <c r="N27" s="424"/>
      <c r="O27" s="425"/>
    </row>
    <row r="28" spans="1:15" ht="37.5" customHeight="1" x14ac:dyDescent="0.25">
      <c r="A28" s="9"/>
      <c r="B28" s="4">
        <v>9</v>
      </c>
      <c r="C28" s="571" t="s">
        <v>45</v>
      </c>
      <c r="D28" s="572"/>
      <c r="E28" s="572"/>
      <c r="F28" s="572"/>
      <c r="G28" s="573"/>
      <c r="H28" s="279">
        <v>0.65</v>
      </c>
      <c r="I28" s="287">
        <f>VLOOKUP(I$1,'Scoring Calculator'!$A$3:$BH$11,COLUMN('Scoring Calculator'!T1),FALSE)</f>
        <v>0.83333333333333337</v>
      </c>
      <c r="J28" s="288">
        <f>IF(K28="N/A","N/A",3)</f>
        <v>3</v>
      </c>
      <c r="K28" s="290">
        <f>IF(I28="N/A","N/A",VLOOKUP(I$1,'Scoring Calculator'!$A$3:$BH$11,COLUMN('Scoring Calculator'!AS1),FALSE))</f>
        <v>3</v>
      </c>
      <c r="M28" s="9"/>
      <c r="N28" s="424"/>
      <c r="O28" s="425"/>
    </row>
    <row r="29" spans="1:15" ht="14.1" customHeight="1" x14ac:dyDescent="0.25">
      <c r="A29" s="9"/>
      <c r="C29" s="611" t="s">
        <v>53</v>
      </c>
      <c r="D29" s="612"/>
      <c r="E29" s="612"/>
      <c r="F29" s="612"/>
      <c r="G29" s="612"/>
      <c r="H29" s="612"/>
      <c r="I29" s="612"/>
      <c r="J29" s="612"/>
      <c r="K29" s="613"/>
      <c r="M29" s="9"/>
      <c r="N29" s="421"/>
      <c r="O29" s="421"/>
    </row>
    <row r="30" spans="1:15" ht="36.75" customHeight="1" x14ac:dyDescent="0.25">
      <c r="A30" s="9"/>
      <c r="B30" s="4">
        <v>11</v>
      </c>
      <c r="C30" s="571" t="s">
        <v>159</v>
      </c>
      <c r="D30" s="572"/>
      <c r="E30" s="572"/>
      <c r="F30" s="572"/>
      <c r="G30" s="573"/>
      <c r="H30" s="163">
        <v>0.85</v>
      </c>
      <c r="I30" s="277">
        <f>VLOOKUP(I$1,'Scoring Calculator'!$A$3:$BH$11,COLUMN('Scoring Calculator'!V1),FALSE)</f>
        <v>0.91666666666666663</v>
      </c>
      <c r="J30" s="162">
        <f>IF(K30="N/A","N/A",5)</f>
        <v>5</v>
      </c>
      <c r="K30" s="278">
        <f>IF(I30="N/A","N/A",VLOOKUP(I$1,'Scoring Calculator'!$A$3:$BH$11,COLUMN('Scoring Calculator'!AU1),FALSE))</f>
        <v>5</v>
      </c>
      <c r="M30" s="9"/>
      <c r="N30" s="424"/>
      <c r="O30" s="425"/>
    </row>
    <row r="31" spans="1:15" ht="33.75" customHeight="1" x14ac:dyDescent="0.25">
      <c r="A31" s="9"/>
      <c r="B31" s="4">
        <v>13</v>
      </c>
      <c r="C31" s="571" t="s">
        <v>59</v>
      </c>
      <c r="D31" s="572"/>
      <c r="E31" s="572"/>
      <c r="F31" s="572"/>
      <c r="G31" s="573"/>
      <c r="H31" s="161" t="s">
        <v>60</v>
      </c>
      <c r="I31" s="277">
        <f>VLOOKUP(I$1,'Scoring Calculator'!$A$3:$BH$11,COLUMN('Scoring Calculator'!X1),FALSE)</f>
        <v>0.125</v>
      </c>
      <c r="J31" s="162">
        <f>IF(K31="N/A","N/A",5)</f>
        <v>5</v>
      </c>
      <c r="K31" s="278">
        <f>IF(I31="N/A","N/A",VLOOKUP(I$1,'Scoring Calculator'!$A$3:$BH$11,COLUMN('Scoring Calculator'!AW1),FALSE))</f>
        <v>0</v>
      </c>
      <c r="M31" s="9"/>
      <c r="N31" s="424"/>
      <c r="O31" s="425"/>
    </row>
    <row r="32" spans="1:15" ht="33.75" customHeight="1" x14ac:dyDescent="0.25">
      <c r="A32" s="9"/>
      <c r="B32" s="4">
        <v>14</v>
      </c>
      <c r="C32" s="571" t="s">
        <v>62</v>
      </c>
      <c r="D32" s="572"/>
      <c r="E32" s="572"/>
      <c r="F32" s="572"/>
      <c r="G32" s="573"/>
      <c r="H32" s="161" t="s">
        <v>64</v>
      </c>
      <c r="I32" s="277">
        <f>VLOOKUP(I$1,'Scoring Calculator'!$A$3:$BH$11,COLUMN('Scoring Calculator'!Y1),FALSE)</f>
        <v>0.25</v>
      </c>
      <c r="J32" s="162">
        <f>IF(K32="N/A","N/A",10)</f>
        <v>10</v>
      </c>
      <c r="K32" s="278">
        <f>IF(I32="N/A","N/A",VLOOKUP(I$1,'Scoring Calculator'!$A$3:$BH$11,COLUMN('Scoring Calculator'!AX1),FALSE))</f>
        <v>3</v>
      </c>
      <c r="M32" s="9"/>
      <c r="N32" s="424"/>
      <c r="O32" s="425"/>
    </row>
    <row r="33" spans="1:15" ht="18.95" customHeight="1" x14ac:dyDescent="0.25">
      <c r="A33" s="9"/>
      <c r="C33" s="574" t="s">
        <v>160</v>
      </c>
      <c r="D33" s="575"/>
      <c r="E33" s="575"/>
      <c r="F33" s="575"/>
      <c r="G33" s="575"/>
      <c r="H33" s="576"/>
      <c r="I33" s="577"/>
      <c r="J33" s="166">
        <f>SUM(J17:J32)</f>
        <v>83</v>
      </c>
      <c r="K33" s="167">
        <f>SUM(K17:K32)</f>
        <v>51</v>
      </c>
      <c r="M33" s="9"/>
      <c r="N33" s="426"/>
      <c r="O33" s="426"/>
    </row>
    <row r="34" spans="1:15" ht="18.95" customHeight="1" x14ac:dyDescent="0.25">
      <c r="A34" s="9"/>
      <c r="C34" s="568" t="s">
        <v>66</v>
      </c>
      <c r="D34" s="569"/>
      <c r="E34" s="569"/>
      <c r="F34" s="569"/>
      <c r="G34" s="569"/>
      <c r="H34" s="569"/>
      <c r="I34" s="569"/>
      <c r="J34" s="569"/>
      <c r="K34" s="570"/>
      <c r="M34" s="9"/>
      <c r="N34" s="427"/>
      <c r="O34" s="427"/>
    </row>
    <row r="35" spans="1:15" ht="41.1" customHeight="1" x14ac:dyDescent="0.25">
      <c r="A35" s="9"/>
      <c r="B35" s="4">
        <v>15</v>
      </c>
      <c r="C35" s="571" t="s">
        <v>67</v>
      </c>
      <c r="D35" s="572"/>
      <c r="E35" s="572"/>
      <c r="F35" s="572"/>
      <c r="G35" s="573"/>
      <c r="H35" s="163">
        <v>0.75</v>
      </c>
      <c r="I35" s="287">
        <f>VLOOKUP(I$1,'Scoring Calculator'!$A$3:$BH$11,COLUMN('Scoring Calculator'!Z1),FALSE)</f>
        <v>0.14285714285714285</v>
      </c>
      <c r="J35" s="288">
        <f>IF(K35="N/A","N/A",2)</f>
        <v>2</v>
      </c>
      <c r="K35" s="290">
        <f>IF(I35="N/A","N/A",VLOOKUP(I$1,'Scoring Calculator'!$A$3:$BH$11,COLUMN('Scoring Calculator'!AY1),FALSE))</f>
        <v>0</v>
      </c>
      <c r="M35" s="9"/>
      <c r="N35" s="424"/>
      <c r="O35" s="425"/>
    </row>
    <row r="36" spans="1:15" ht="18.95" customHeight="1" x14ac:dyDescent="0.25">
      <c r="A36" s="9"/>
      <c r="C36" s="574" t="s">
        <v>161</v>
      </c>
      <c r="D36" s="575"/>
      <c r="E36" s="575"/>
      <c r="F36" s="575"/>
      <c r="G36" s="575"/>
      <c r="H36" s="576"/>
      <c r="I36" s="577"/>
      <c r="J36" s="166">
        <f>J35</f>
        <v>2</v>
      </c>
      <c r="K36" s="167">
        <f>K35</f>
        <v>0</v>
      </c>
      <c r="M36" s="9"/>
      <c r="N36" s="426"/>
      <c r="O36" s="426"/>
    </row>
    <row r="37" spans="1:15" x14ac:dyDescent="0.25">
      <c r="A37" s="9"/>
      <c r="C37" s="568" t="s">
        <v>70</v>
      </c>
      <c r="D37" s="569"/>
      <c r="E37" s="569"/>
      <c r="F37" s="569"/>
      <c r="G37" s="569"/>
      <c r="H37" s="569"/>
      <c r="I37" s="569"/>
      <c r="J37" s="569"/>
      <c r="K37" s="570"/>
      <c r="M37" s="9"/>
      <c r="N37" s="427"/>
      <c r="O37" s="427"/>
    </row>
    <row r="38" spans="1:15" ht="33" customHeight="1" x14ac:dyDescent="0.25">
      <c r="A38" s="9"/>
      <c r="B38" s="4">
        <v>16</v>
      </c>
      <c r="C38" s="571" t="s">
        <v>162</v>
      </c>
      <c r="D38" s="572"/>
      <c r="E38" s="572"/>
      <c r="F38" s="572"/>
      <c r="G38" s="573"/>
      <c r="H38" s="161" t="s">
        <v>73</v>
      </c>
      <c r="I38" s="277">
        <f>VLOOKUP(I$1,'Scoring Calculator'!$A$3:$BH$11,COLUMN('Scoring Calculator'!AA1),FALSE)</f>
        <v>0.25</v>
      </c>
      <c r="J38" s="162">
        <f>IF(K38="N/A","N/A",5)</f>
        <v>5</v>
      </c>
      <c r="K38" s="278">
        <f>IF(I38="N/A","N/A",VLOOKUP(I$1,'Scoring Calculator'!$A$3:$BH$11,COLUMN('Scoring Calculator'!AZ1),FALSE))</f>
        <v>5</v>
      </c>
      <c r="M38" s="9"/>
      <c r="N38" s="424"/>
      <c r="O38" s="425"/>
    </row>
    <row r="39" spans="1:15" ht="30" x14ac:dyDescent="0.25">
      <c r="A39" s="9"/>
      <c r="B39" s="4">
        <v>17</v>
      </c>
      <c r="C39" s="571" t="s">
        <v>75</v>
      </c>
      <c r="D39" s="572"/>
      <c r="E39" s="572"/>
      <c r="F39" s="572"/>
      <c r="G39" s="573"/>
      <c r="H39" s="169" t="s">
        <v>76</v>
      </c>
      <c r="I39" s="277" t="str">
        <f>VLOOKUP(I$1,'Scoring Calculator'!$A$3:$BH$11,COLUMN('Scoring Calculator'!AB1),FALSE)</f>
        <v>Yes</v>
      </c>
      <c r="J39" s="162">
        <f>IF(K39="N/A","N/A",5)</f>
        <v>5</v>
      </c>
      <c r="K39" s="278">
        <f>IF(I39="N/A","N/A",VLOOKUP(I$1,'Scoring Calculator'!$A$3:$BH$11,COLUMN('Scoring Calculator'!BA1),FALSE))</f>
        <v>5</v>
      </c>
      <c r="M39" s="9"/>
      <c r="N39" s="424"/>
      <c r="O39" s="425"/>
    </row>
    <row r="40" spans="1:15" ht="33.75" customHeight="1" x14ac:dyDescent="0.25">
      <c r="A40" s="9"/>
      <c r="B40" s="4">
        <v>18</v>
      </c>
      <c r="C40" s="571" t="s">
        <v>78</v>
      </c>
      <c r="D40" s="572"/>
      <c r="E40" s="572"/>
      <c r="F40" s="572"/>
      <c r="G40" s="573"/>
      <c r="H40" s="169" t="s">
        <v>163</v>
      </c>
      <c r="I40" s="277" t="str">
        <f>VLOOKUP(I$1,'Scoring Calculator'!$A$3:$BH$11,COLUMN('Scoring Calculator'!AC1),FALSE)</f>
        <v>Yes</v>
      </c>
      <c r="J40" s="162">
        <f>IF(K40="N/A","N/A",2)</f>
        <v>2</v>
      </c>
      <c r="K40" s="282">
        <f>IF(I40="N/A","N/A",VLOOKUP(I$1,'Scoring Calculator'!$A$3:$BH$11,COLUMN('Scoring Calculator'!BB1),FALSE))</f>
        <v>2</v>
      </c>
      <c r="M40" s="9"/>
      <c r="N40" s="424"/>
      <c r="O40" s="425"/>
    </row>
    <row r="41" spans="1:15" ht="18.95" customHeight="1" x14ac:dyDescent="0.25">
      <c r="A41" s="9"/>
      <c r="C41" s="574" t="s">
        <v>164</v>
      </c>
      <c r="D41" s="575"/>
      <c r="E41" s="575"/>
      <c r="F41" s="575"/>
      <c r="G41" s="575"/>
      <c r="H41" s="586"/>
      <c r="I41" s="587"/>
      <c r="J41" s="291">
        <f>SUM(J38:J40)</f>
        <v>12</v>
      </c>
      <c r="K41" s="292">
        <f>SUM(K38:K40)</f>
        <v>12</v>
      </c>
      <c r="M41" s="9"/>
      <c r="N41" s="426"/>
      <c r="O41" s="426"/>
    </row>
    <row r="42" spans="1:15" x14ac:dyDescent="0.25">
      <c r="A42" s="9"/>
      <c r="C42" s="601" t="s">
        <v>82</v>
      </c>
      <c r="D42" s="602"/>
      <c r="E42" s="602"/>
      <c r="F42" s="602"/>
      <c r="G42" s="602"/>
      <c r="H42" s="603"/>
      <c r="I42" s="603"/>
      <c r="J42" s="602"/>
      <c r="K42" s="604"/>
      <c r="M42" s="9"/>
      <c r="N42" s="427"/>
      <c r="O42" s="427"/>
    </row>
    <row r="43" spans="1:15" ht="33" customHeight="1" x14ac:dyDescent="0.25">
      <c r="A43" s="9"/>
      <c r="B43" s="4">
        <v>19</v>
      </c>
      <c r="C43" s="588" t="s">
        <v>165</v>
      </c>
      <c r="D43" s="589"/>
      <c r="E43" s="589"/>
      <c r="F43" s="589"/>
      <c r="G43" s="605"/>
      <c r="H43" s="171" t="s">
        <v>85</v>
      </c>
      <c r="I43" s="293" t="str">
        <f>VLOOKUP(I$1,'Scoring Calculator'!$A$3:$BH$11,COLUMN('Scoring Calculator'!AD1),FALSE)</f>
        <v>Yes</v>
      </c>
      <c r="J43" s="168">
        <f>IF(K43="N/A","N/A",3)</f>
        <v>3</v>
      </c>
      <c r="K43" s="294">
        <f>IF(I44="N/A","N/A",VLOOKUP(I$1,'Scoring Calculator'!$A$3:$BH$11,COLUMN('Scoring Calculator'!BC1),FALSE))</f>
        <v>3</v>
      </c>
      <c r="M43" s="9"/>
      <c r="N43" s="424"/>
      <c r="O43" s="425"/>
    </row>
    <row r="44" spans="1:15" x14ac:dyDescent="0.25">
      <c r="A44" s="9"/>
      <c r="C44" s="606" t="s">
        <v>166</v>
      </c>
      <c r="D44" s="607"/>
      <c r="E44" s="607"/>
      <c r="F44" s="607"/>
      <c r="G44" s="607"/>
      <c r="H44" s="608"/>
      <c r="I44" s="609"/>
      <c r="J44" s="172">
        <f>IF(J43="N/A",0,J43)</f>
        <v>3</v>
      </c>
      <c r="K44" s="172">
        <f>IF(K43="N/A",0,K43)</f>
        <v>3</v>
      </c>
      <c r="M44" s="9"/>
      <c r="N44" s="426"/>
      <c r="O44" s="426"/>
    </row>
    <row r="45" spans="1:15" ht="35.25" customHeight="1" x14ac:dyDescent="0.25">
      <c r="A45" s="9"/>
      <c r="C45" s="593" t="s">
        <v>167</v>
      </c>
      <c r="D45" s="594"/>
      <c r="E45" s="594"/>
      <c r="F45" s="594"/>
      <c r="G45" s="594"/>
      <c r="H45" s="594"/>
      <c r="I45" s="595"/>
      <c r="J45" s="147">
        <f>_xlfn.AGGREGATE(9,2,(J33,J36,J41,J44))</f>
        <v>100</v>
      </c>
      <c r="K45" s="147">
        <f>_xlfn.AGGREGATE(9,2,(K33,K36,K41,K44))</f>
        <v>66</v>
      </c>
      <c r="M45" s="9"/>
      <c r="N45" s="424" t="s">
        <v>611</v>
      </c>
      <c r="O45" s="425"/>
    </row>
    <row r="46" spans="1:15" x14ac:dyDescent="0.25">
      <c r="A46" s="9"/>
      <c r="C46" s="610" t="s">
        <v>168</v>
      </c>
      <c r="D46" s="603"/>
      <c r="E46" s="603"/>
      <c r="F46" s="603"/>
      <c r="G46" s="603"/>
      <c r="H46" s="603"/>
      <c r="I46" s="603"/>
      <c r="J46" s="602"/>
      <c r="K46" s="604"/>
      <c r="M46" s="9"/>
      <c r="N46" s="427"/>
      <c r="O46" s="427"/>
    </row>
    <row r="47" spans="1:15" ht="33" customHeight="1" x14ac:dyDescent="0.25">
      <c r="A47" s="9"/>
      <c r="B47" s="4">
        <v>20</v>
      </c>
      <c r="C47" s="588" t="s">
        <v>91</v>
      </c>
      <c r="D47" s="589"/>
      <c r="E47" s="589"/>
      <c r="F47" s="589"/>
      <c r="G47" s="589"/>
      <c r="H47" s="646" t="s">
        <v>169</v>
      </c>
      <c r="I47" s="295">
        <f>VLOOKUP(I$1,'Scoring Calculator'!$A$3:$BH$11,COLUMN('Scoring Calculator'!AE1),FALSE)</f>
        <v>0.66666666666666663</v>
      </c>
      <c r="J47" s="168">
        <f>IF(K47="N/A","N/A",2)</f>
        <v>2</v>
      </c>
      <c r="K47" s="296">
        <f>IF(I47="N/A","N/A",VLOOKUP(I$1,'Scoring Calculator'!$A$3:$BH$11,COLUMN('Scoring Calculator'!BD1),FALSE))</f>
        <v>1.3333333333333333</v>
      </c>
      <c r="M47" s="9"/>
      <c r="N47" s="424"/>
      <c r="O47" s="425"/>
    </row>
    <row r="48" spans="1:15" ht="33" customHeight="1" x14ac:dyDescent="0.25">
      <c r="A48" s="9"/>
      <c r="B48" s="4">
        <v>21</v>
      </c>
      <c r="C48" s="588" t="s">
        <v>94</v>
      </c>
      <c r="D48" s="589"/>
      <c r="E48" s="589"/>
      <c r="F48" s="589"/>
      <c r="G48" s="589"/>
      <c r="H48" s="647"/>
      <c r="I48" s="295">
        <f>VLOOKUP(I$1,'Scoring Calculator'!$A$3:$BH$11,COLUMN('Scoring Calculator'!AF1),FALSE)</f>
        <v>4.7619047619047616E-2</v>
      </c>
      <c r="J48" s="168">
        <f t="shared" ref="J48:J51" si="0">IF(K48="N/A","N/A",2)</f>
        <v>2</v>
      </c>
      <c r="K48" s="296">
        <f>IF(I48="N/A","N/A",VLOOKUP(I$1,'Scoring Calculator'!$A$3:$BH$11,COLUMN('Scoring Calculator'!BE1),FALSE))</f>
        <v>9.5238095238095233E-2</v>
      </c>
      <c r="M48" s="9"/>
      <c r="N48" s="424"/>
      <c r="O48" s="425"/>
    </row>
    <row r="49" spans="1:15" ht="40.5" customHeight="1" x14ac:dyDescent="0.25">
      <c r="A49" s="9"/>
      <c r="B49" s="4">
        <v>22</v>
      </c>
      <c r="C49" s="588" t="s">
        <v>96</v>
      </c>
      <c r="D49" s="589"/>
      <c r="E49" s="589"/>
      <c r="F49" s="589"/>
      <c r="G49" s="589"/>
      <c r="H49" s="647"/>
      <c r="I49" s="295">
        <f>VLOOKUP(I$1,'Scoring Calculator'!$A$3:$BH$11,COLUMN('Scoring Calculator'!AG1),FALSE)</f>
        <v>4.7619047619047616E-2</v>
      </c>
      <c r="J49" s="168">
        <f t="shared" si="0"/>
        <v>2</v>
      </c>
      <c r="K49" s="296">
        <f>IF(I49="N/A","N/A",VLOOKUP(I$1,'Scoring Calculator'!$A$3:$BH$11,COLUMN('Scoring Calculator'!BF1),FALSE))</f>
        <v>9.5238095238095233E-2</v>
      </c>
      <c r="M49" s="9"/>
      <c r="N49" s="424"/>
      <c r="O49" s="425"/>
    </row>
    <row r="50" spans="1:15" ht="40.5" customHeight="1" x14ac:dyDescent="0.25">
      <c r="A50" s="9"/>
      <c r="B50" s="4">
        <v>23</v>
      </c>
      <c r="C50" s="588" t="s">
        <v>98</v>
      </c>
      <c r="D50" s="589"/>
      <c r="E50" s="589"/>
      <c r="F50" s="589"/>
      <c r="G50" s="589"/>
      <c r="H50" s="647"/>
      <c r="I50" s="295">
        <f>VLOOKUP(I$1,'Scoring Calculator'!$A$3:$BH$11,COLUMN('Scoring Calculator'!AH1),FALSE)</f>
        <v>4.7619047619047616E-2</v>
      </c>
      <c r="J50" s="168">
        <f t="shared" si="0"/>
        <v>2</v>
      </c>
      <c r="K50" s="296">
        <f>IF(I50="N/A","N/A",VLOOKUP(I$1,'Scoring Calculator'!$A$3:$BH$11,COLUMN('Scoring Calculator'!BG1),FALSE))</f>
        <v>9.5238095238095233E-2</v>
      </c>
      <c r="M50" s="9"/>
      <c r="N50" s="424"/>
      <c r="O50" s="425"/>
    </row>
    <row r="51" spans="1:15" ht="40.5" customHeight="1" x14ac:dyDescent="0.25">
      <c r="A51" s="9"/>
      <c r="B51" s="4">
        <v>24</v>
      </c>
      <c r="C51" s="588" t="s">
        <v>100</v>
      </c>
      <c r="D51" s="589"/>
      <c r="E51" s="589"/>
      <c r="F51" s="589"/>
      <c r="G51" s="649"/>
      <c r="H51" s="648"/>
      <c r="I51" s="295">
        <f>VLOOKUP(I$1,'Scoring Calculator'!$A$3:$BH$11,COLUMN('Scoring Calculator'!AI1),FALSE)</f>
        <v>0.23809523809523808</v>
      </c>
      <c r="J51" s="168">
        <f t="shared" si="0"/>
        <v>2</v>
      </c>
      <c r="K51" s="296">
        <f>IF(I51="N/A","N/A",VLOOKUP(I$1,'Scoring Calculator'!$A$3:$BH$11,COLUMN('Scoring Calculator'!BH1),FALSE))</f>
        <v>0.47619047619047616</v>
      </c>
      <c r="M51" s="9"/>
      <c r="N51" s="424"/>
      <c r="O51" s="425"/>
    </row>
    <row r="52" spans="1:15" ht="27.75" customHeight="1" x14ac:dyDescent="0.25">
      <c r="A52" s="9"/>
      <c r="C52" s="596" t="s">
        <v>170</v>
      </c>
      <c r="D52" s="597"/>
      <c r="E52" s="597"/>
      <c r="F52" s="597"/>
      <c r="G52" s="597"/>
      <c r="H52" s="653"/>
      <c r="I52" s="654"/>
      <c r="J52" s="148">
        <f>SUM(J47:J51)</f>
        <v>10</v>
      </c>
      <c r="K52" s="149">
        <f>SUM(K47:K51)</f>
        <v>2.0952380952380953</v>
      </c>
      <c r="M52" s="9"/>
      <c r="N52" s="424" t="s">
        <v>134</v>
      </c>
      <c r="O52" s="425"/>
    </row>
    <row r="53" spans="1:15" ht="23.25" customHeight="1" x14ac:dyDescent="0.25">
      <c r="A53" s="9"/>
      <c r="C53" s="590" t="s">
        <v>171</v>
      </c>
      <c r="D53" s="591"/>
      <c r="E53" s="591"/>
      <c r="F53" s="591"/>
      <c r="G53" s="591"/>
      <c r="H53" s="591"/>
      <c r="I53" s="591"/>
      <c r="J53" s="591"/>
      <c r="K53" s="592"/>
      <c r="M53" s="9"/>
      <c r="N53" s="428"/>
      <c r="O53" s="428"/>
    </row>
    <row r="54" spans="1:15" ht="27.75" customHeight="1" x14ac:dyDescent="0.25">
      <c r="A54" s="9"/>
      <c r="C54" s="650" t="s">
        <v>172</v>
      </c>
      <c r="D54" s="651"/>
      <c r="E54" s="651"/>
      <c r="F54" s="651"/>
      <c r="G54" s="651"/>
      <c r="H54" s="651"/>
      <c r="I54" s="652"/>
      <c r="J54" s="150">
        <f>J45</f>
        <v>100</v>
      </c>
      <c r="K54" s="151">
        <f>K45</f>
        <v>66</v>
      </c>
      <c r="M54" s="9"/>
      <c r="N54" s="424" t="s">
        <v>611</v>
      </c>
      <c r="O54" s="425"/>
    </row>
    <row r="55" spans="1:15" ht="28.5" customHeight="1" x14ac:dyDescent="0.25">
      <c r="A55" s="9"/>
      <c r="C55" s="650" t="s">
        <v>173</v>
      </c>
      <c r="D55" s="651"/>
      <c r="E55" s="651"/>
      <c r="F55" s="651"/>
      <c r="G55" s="651"/>
      <c r="H55" s="651"/>
      <c r="I55" s="652"/>
      <c r="J55" s="152">
        <f>J52</f>
        <v>10</v>
      </c>
      <c r="K55" s="104">
        <f>K52</f>
        <v>2.0952380952380953</v>
      </c>
      <c r="M55" s="9"/>
      <c r="N55" s="424" t="s">
        <v>134</v>
      </c>
      <c r="O55" s="425"/>
    </row>
    <row r="56" spans="1:15" ht="45.75" customHeight="1" x14ac:dyDescent="0.25">
      <c r="A56" s="9"/>
      <c r="C56" s="584" t="s">
        <v>174</v>
      </c>
      <c r="D56" s="585"/>
      <c r="E56" s="585"/>
      <c r="F56" s="585"/>
      <c r="G56" s="585"/>
      <c r="H56" s="598" t="s">
        <v>175</v>
      </c>
      <c r="I56" s="599"/>
      <c r="J56" s="600"/>
      <c r="K56" s="153">
        <f>(((K54/J54)*100)+K55)</f>
        <v>68.095238095238102</v>
      </c>
      <c r="M56" s="9"/>
      <c r="N56" s="424" t="s">
        <v>155</v>
      </c>
      <c r="O56" s="425"/>
    </row>
    <row r="57" spans="1:15" x14ac:dyDescent="0.25">
      <c r="A57" s="9"/>
      <c r="C57" s="7"/>
      <c r="D57" s="7"/>
      <c r="E57" s="7"/>
      <c r="F57" s="7"/>
      <c r="G57" s="7"/>
      <c r="H57" s="12"/>
      <c r="I57" s="12"/>
      <c r="J57" s="12"/>
      <c r="K57" s="12"/>
      <c r="M57" s="9"/>
    </row>
    <row r="58" spans="1:15" x14ac:dyDescent="0.25">
      <c r="A58" s="9"/>
      <c r="B58" s="42"/>
      <c r="C58" s="9"/>
      <c r="D58" s="9"/>
      <c r="E58" s="9"/>
      <c r="F58" s="9"/>
      <c r="G58" s="9"/>
      <c r="H58" s="11"/>
      <c r="I58" s="11"/>
      <c r="J58" s="11"/>
      <c r="K58" s="11"/>
      <c r="L58" s="9"/>
      <c r="M58" s="9"/>
    </row>
    <row r="60" spans="1:15" ht="23.25" customHeight="1" x14ac:dyDescent="0.25"/>
    <row r="61" spans="1:15" ht="23.25" customHeight="1" x14ac:dyDescent="0.25"/>
    <row r="62" spans="1:15" ht="23.25" customHeight="1" x14ac:dyDescent="0.25"/>
    <row r="64" spans="1:15" ht="15.75" customHeight="1" x14ac:dyDescent="0.25"/>
    <row r="65" ht="15.75" customHeight="1" x14ac:dyDescent="0.25"/>
    <row r="66" ht="15.75" customHeight="1" x14ac:dyDescent="0.25"/>
  </sheetData>
  <mergeCells count="59">
    <mergeCell ref="C40:G40"/>
    <mergeCell ref="H47:H51"/>
    <mergeCell ref="C51:G51"/>
    <mergeCell ref="C55:I55"/>
    <mergeCell ref="H52:I52"/>
    <mergeCell ref="C54:I54"/>
    <mergeCell ref="C50:G50"/>
    <mergeCell ref="C3:K3"/>
    <mergeCell ref="C12:G14"/>
    <mergeCell ref="H12:H13"/>
    <mergeCell ref="I12:I14"/>
    <mergeCell ref="J12:J14"/>
    <mergeCell ref="K12:K14"/>
    <mergeCell ref="J5:K5"/>
    <mergeCell ref="J7:K7"/>
    <mergeCell ref="C25:G25"/>
    <mergeCell ref="C26:G26"/>
    <mergeCell ref="C28:G28"/>
    <mergeCell ref="C29:K29"/>
    <mergeCell ref="C22:K22"/>
    <mergeCell ref="C23:G23"/>
    <mergeCell ref="C27:G27"/>
    <mergeCell ref="C19:K19"/>
    <mergeCell ref="C20:G20"/>
    <mergeCell ref="C21:G21"/>
    <mergeCell ref="C18:G18"/>
    <mergeCell ref="C24:K24"/>
    <mergeCell ref="C56:G56"/>
    <mergeCell ref="C39:G39"/>
    <mergeCell ref="C41:G41"/>
    <mergeCell ref="H41:I41"/>
    <mergeCell ref="C47:G47"/>
    <mergeCell ref="C48:G48"/>
    <mergeCell ref="C53:K53"/>
    <mergeCell ref="C45:I45"/>
    <mergeCell ref="C52:G52"/>
    <mergeCell ref="H56:J56"/>
    <mergeCell ref="C42:K42"/>
    <mergeCell ref="C43:G43"/>
    <mergeCell ref="C44:G44"/>
    <mergeCell ref="H44:I44"/>
    <mergeCell ref="C49:G49"/>
    <mergeCell ref="C46:K46"/>
    <mergeCell ref="N12:N14"/>
    <mergeCell ref="O12:O14"/>
    <mergeCell ref="C37:K37"/>
    <mergeCell ref="C38:G38"/>
    <mergeCell ref="C31:G31"/>
    <mergeCell ref="C33:G33"/>
    <mergeCell ref="H33:I33"/>
    <mergeCell ref="C34:K34"/>
    <mergeCell ref="C35:G35"/>
    <mergeCell ref="C36:G36"/>
    <mergeCell ref="H36:I36"/>
    <mergeCell ref="C32:G32"/>
    <mergeCell ref="C30:G30"/>
    <mergeCell ref="C15:K15"/>
    <mergeCell ref="C16:K16"/>
    <mergeCell ref="C17:G17"/>
  </mergeCells>
  <pageMargins left="0.7" right="0.7" top="0.75" bottom="0.75" header="0.3" footer="0.3"/>
  <pageSetup scale="50"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'vlookup- do not delete'!$A$2:$A$8</xm:f>
          </x14:formula1>
          <xm:sqref>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D217-4484-4326-A37F-AC934BBFB9EA}">
  <sheetPr>
    <tabColor rgb="FF00B050"/>
    <pageSetUpPr fitToPage="1"/>
  </sheetPr>
  <dimension ref="A1:O67"/>
  <sheetViews>
    <sheetView zoomScaleNormal="100" workbookViewId="0">
      <selection activeCell="N57" sqref="N57"/>
    </sheetView>
  </sheetViews>
  <sheetFormatPr defaultColWidth="8.85546875" defaultRowHeight="15" x14ac:dyDescent="0.25"/>
  <cols>
    <col min="1" max="1" width="3.42578125" style="8" customWidth="1"/>
    <col min="2" max="2" width="4.5703125" style="13" customWidth="1"/>
    <col min="3" max="3" width="16.42578125" style="15" customWidth="1"/>
    <col min="4" max="4" width="20.7109375" style="15" customWidth="1"/>
    <col min="5" max="5" width="8.7109375" style="15" customWidth="1"/>
    <col min="6" max="6" width="16.7109375" style="15" customWidth="1"/>
    <col min="7" max="7" width="12.85546875" style="15" customWidth="1"/>
    <col min="8" max="8" width="15.140625" style="16" customWidth="1"/>
    <col min="9" max="9" width="13.5703125" style="16" customWidth="1"/>
    <col min="10" max="11" width="9.85546875" style="16" customWidth="1"/>
    <col min="12" max="12" width="1.5703125" style="8" customWidth="1"/>
    <col min="13" max="13" width="3.42578125" style="8" customWidth="1"/>
    <col min="14" max="14" width="30.7109375" style="8" customWidth="1"/>
    <col min="15" max="15" width="17.140625" style="8" customWidth="1"/>
    <col min="16" max="16384" width="8.85546875" style="8"/>
  </cols>
  <sheetData>
    <row r="1" spans="1:15" ht="43.5" customHeight="1" x14ac:dyDescent="0.25">
      <c r="I1" s="260" t="s">
        <v>219</v>
      </c>
      <c r="J1" s="261" t="s">
        <v>143</v>
      </c>
    </row>
    <row r="2" spans="1:15" x14ac:dyDescent="0.25">
      <c r="A2" s="9"/>
      <c r="B2" s="14"/>
      <c r="C2" s="17"/>
      <c r="D2" s="17"/>
      <c r="E2" s="17"/>
      <c r="F2" s="17"/>
      <c r="G2" s="17"/>
      <c r="H2" s="18"/>
      <c r="I2" s="18"/>
      <c r="J2" s="18"/>
      <c r="K2" s="18"/>
      <c r="L2" s="9"/>
      <c r="M2" s="9"/>
    </row>
    <row r="3" spans="1:15" ht="15.6" customHeight="1" x14ac:dyDescent="0.25">
      <c r="A3" s="9"/>
      <c r="C3" s="629" t="s">
        <v>636</v>
      </c>
      <c r="D3" s="630"/>
      <c r="E3" s="630"/>
      <c r="F3" s="630"/>
      <c r="G3" s="630"/>
      <c r="H3" s="630"/>
      <c r="I3" s="630"/>
      <c r="J3" s="630"/>
      <c r="K3" s="631"/>
      <c r="L3" s="5"/>
      <c r="M3" s="6"/>
    </row>
    <row r="4" spans="1:15" ht="6" customHeight="1" x14ac:dyDescent="0.25">
      <c r="A4" s="9"/>
      <c r="C4" s="19"/>
      <c r="D4" s="19"/>
      <c r="E4" s="19"/>
      <c r="F4" s="19"/>
      <c r="G4" s="19"/>
      <c r="H4" s="20"/>
      <c r="I4" s="20"/>
      <c r="J4" s="20"/>
      <c r="K4" s="20"/>
      <c r="L4" s="5"/>
      <c r="M4" s="6"/>
    </row>
    <row r="5" spans="1:15" ht="17.25" customHeight="1" x14ac:dyDescent="0.25">
      <c r="A5" s="9"/>
      <c r="C5" s="262" t="s">
        <v>144</v>
      </c>
      <c r="D5" s="267" t="str">
        <f>VLOOKUP($I$1,'vlookup- do not delete'!A1:D8,2,FALSE)</f>
        <v>TEST AGENCY</v>
      </c>
      <c r="F5" s="262" t="s">
        <v>145</v>
      </c>
      <c r="G5" s="267" t="str">
        <f>VLOOKUP($I$1,'vlookup- do not delete'!A1:D8,1,FALSE)</f>
        <v>TEST RRH</v>
      </c>
      <c r="H5" s="20"/>
      <c r="I5" s="262" t="s">
        <v>633</v>
      </c>
      <c r="J5" s="642" t="s">
        <v>632</v>
      </c>
      <c r="K5" s="643"/>
      <c r="L5" s="5"/>
      <c r="M5" s="6"/>
    </row>
    <row r="6" spans="1:15" ht="15" hidden="1" customHeight="1" x14ac:dyDescent="0.25">
      <c r="A6" s="9"/>
      <c r="C6" s="297" t="s">
        <v>146</v>
      </c>
      <c r="D6" s="298" t="e">
        <f>VLOOKUP($I$1,#REF!,#REF!,FALSE)</f>
        <v>#REF!</v>
      </c>
      <c r="F6" s="297"/>
      <c r="G6" s="298"/>
      <c r="H6" s="20"/>
      <c r="I6" s="23"/>
      <c r="J6" s="38"/>
      <c r="K6" s="25"/>
      <c r="L6" s="5"/>
      <c r="M6" s="6"/>
    </row>
    <row r="7" spans="1:15" x14ac:dyDescent="0.25">
      <c r="A7" s="9"/>
      <c r="C7" s="262" t="s">
        <v>147</v>
      </c>
      <c r="D7" s="267" t="str">
        <f>VLOOKUP($I$1,'vlookup- do not delete'!A1:D8,3,FALSE)</f>
        <v>TEST PROJECT RRH</v>
      </c>
      <c r="F7" s="262" t="s">
        <v>148</v>
      </c>
      <c r="G7" s="267" t="str">
        <f>VLOOKUP($I$1,'vlookup- do not delete'!A1:D8,4,FALSE)</f>
        <v>RRH</v>
      </c>
      <c r="H7" s="299"/>
      <c r="I7" s="262" t="s">
        <v>149</v>
      </c>
      <c r="J7" s="666" t="str">
        <f>VLOOKUP(I$1,'Scoring Calculator'!$A$5:$BF$11,COLUMN('Scoring Calculator'!D1),FALSE)</f>
        <v>Tenant-Based</v>
      </c>
      <c r="K7" s="666"/>
      <c r="L7" s="5"/>
      <c r="M7" s="6"/>
    </row>
    <row r="8" spans="1:15" ht="5.25" customHeight="1" x14ac:dyDescent="0.25">
      <c r="A8" s="9"/>
      <c r="G8" s="19"/>
      <c r="L8" s="5"/>
      <c r="M8" s="6"/>
    </row>
    <row r="9" spans="1:15" x14ac:dyDescent="0.25">
      <c r="A9" s="9"/>
      <c r="D9" s="113" t="s">
        <v>150</v>
      </c>
      <c r="E9" s="116">
        <f>VLOOKUP($I$1,'Raw Project Data'!A3:CM10,COLUMN('Raw Project Data'!U1),FALSE)</f>
        <v>216</v>
      </c>
      <c r="F9" s="300"/>
      <c r="G9" s="301"/>
      <c r="H9" s="302"/>
      <c r="I9" s="269" t="s">
        <v>151</v>
      </c>
      <c r="J9" s="303">
        <f>VLOOKUP($I$1,'Raw Project Data'!A3:CM10,COLUMN('Raw Project Data'!AC1),FALSE)</f>
        <v>174</v>
      </c>
      <c r="M9" s="9"/>
    </row>
    <row r="10" spans="1:15" x14ac:dyDescent="0.25">
      <c r="A10" s="9"/>
      <c r="C10" s="304"/>
      <c r="D10" s="262" t="s">
        <v>152</v>
      </c>
      <c r="E10" s="303">
        <f>VLOOKUP($I$1,'Raw Project Data'!A3:CM109,COLUMN('Raw Project Data'!AD1),FALSE)</f>
        <v>110</v>
      </c>
      <c r="F10" s="300"/>
      <c r="G10" s="301"/>
      <c r="H10" s="302"/>
      <c r="I10" s="269" t="s">
        <v>153</v>
      </c>
      <c r="J10" s="303">
        <f>VLOOKUP($I$1,'Raw Project Data'!A3:CM10,COLUMN('Raw Project Data'!AE1),FALSE)</f>
        <v>92</v>
      </c>
      <c r="L10" s="5"/>
      <c r="M10" s="6"/>
    </row>
    <row r="11" spans="1:15" ht="3.75" customHeight="1" x14ac:dyDescent="0.25">
      <c r="A11" s="9"/>
      <c r="M11" s="9"/>
    </row>
    <row r="12" spans="1:15" ht="15" customHeight="1" x14ac:dyDescent="0.25">
      <c r="A12" s="9"/>
      <c r="C12" s="664" t="s">
        <v>154</v>
      </c>
      <c r="D12" s="664"/>
      <c r="E12" s="664"/>
      <c r="F12" s="664"/>
      <c r="G12" s="664"/>
      <c r="H12" s="665" t="s">
        <v>634</v>
      </c>
      <c r="I12" s="665" t="s">
        <v>155</v>
      </c>
      <c r="J12" s="665" t="s">
        <v>156</v>
      </c>
      <c r="K12" s="665" t="s">
        <v>157</v>
      </c>
      <c r="M12" s="9"/>
      <c r="N12" s="566" t="s">
        <v>609</v>
      </c>
      <c r="O12" s="567" t="s">
        <v>610</v>
      </c>
    </row>
    <row r="13" spans="1:15" x14ac:dyDescent="0.25">
      <c r="A13" s="9"/>
      <c r="C13" s="664"/>
      <c r="D13" s="664"/>
      <c r="E13" s="664"/>
      <c r="F13" s="664"/>
      <c r="G13" s="664"/>
      <c r="H13" s="665"/>
      <c r="I13" s="665"/>
      <c r="J13" s="665"/>
      <c r="K13" s="665"/>
      <c r="M13" s="9"/>
      <c r="N13" s="566"/>
      <c r="O13" s="567"/>
    </row>
    <row r="14" spans="1:15" x14ac:dyDescent="0.25">
      <c r="A14" s="9"/>
      <c r="C14" s="664"/>
      <c r="D14" s="664"/>
      <c r="E14" s="664"/>
      <c r="F14" s="664"/>
      <c r="G14" s="664"/>
      <c r="H14" s="305" t="s">
        <v>11</v>
      </c>
      <c r="I14" s="665"/>
      <c r="J14" s="665"/>
      <c r="K14" s="665"/>
      <c r="M14" s="9"/>
      <c r="N14" s="566"/>
      <c r="O14" s="567"/>
    </row>
    <row r="15" spans="1:15" x14ac:dyDescent="0.25">
      <c r="A15" s="9"/>
      <c r="C15" s="670" t="s">
        <v>13</v>
      </c>
      <c r="D15" s="671"/>
      <c r="E15" s="671"/>
      <c r="F15" s="671"/>
      <c r="G15" s="671"/>
      <c r="H15" s="671"/>
      <c r="I15" s="671"/>
      <c r="J15" s="671"/>
      <c r="K15" s="672"/>
      <c r="M15" s="9"/>
      <c r="N15" s="420"/>
      <c r="O15" s="420"/>
    </row>
    <row r="16" spans="1:15" x14ac:dyDescent="0.25">
      <c r="A16" s="9"/>
      <c r="C16" s="660" t="s">
        <v>14</v>
      </c>
      <c r="D16" s="660"/>
      <c r="E16" s="660"/>
      <c r="F16" s="660"/>
      <c r="G16" s="660"/>
      <c r="H16" s="660"/>
      <c r="I16" s="660"/>
      <c r="J16" s="660"/>
      <c r="K16" s="660"/>
      <c r="M16" s="9"/>
      <c r="N16" s="421"/>
      <c r="O16" s="421"/>
    </row>
    <row r="17" spans="1:15" ht="23.45" customHeight="1" x14ac:dyDescent="0.25">
      <c r="A17" s="9"/>
      <c r="B17" s="4">
        <v>1</v>
      </c>
      <c r="C17" s="571" t="s">
        <v>15</v>
      </c>
      <c r="D17" s="572"/>
      <c r="E17" s="572"/>
      <c r="F17" s="572"/>
      <c r="G17" s="573"/>
      <c r="H17" s="154">
        <v>0.95</v>
      </c>
      <c r="I17" s="155">
        <f>VLOOKUP(I$1,'Scoring Calculator'!$A$3:$BH$11,COLUMN('Scoring Calculator'!L1),FALSE)</f>
        <v>0.9</v>
      </c>
      <c r="J17" s="156">
        <f>IF(K17="N/A","N/A",10)</f>
        <v>10</v>
      </c>
      <c r="K17" s="157">
        <f>IF(I17="N/A","N/A",VLOOKUP(I$1,'Scoring Calculator'!$A$3:$BH$11,COLUMN('Scoring Calculator'!AK1),FALSE))</f>
        <v>5</v>
      </c>
      <c r="M17" s="9"/>
      <c r="N17" s="422"/>
      <c r="O17" s="423"/>
    </row>
    <row r="18" spans="1:15" ht="35.1" customHeight="1" x14ac:dyDescent="0.25">
      <c r="A18" s="9"/>
      <c r="B18" s="4">
        <v>2</v>
      </c>
      <c r="C18" s="617" t="s">
        <v>18</v>
      </c>
      <c r="D18" s="618"/>
      <c r="E18" s="618"/>
      <c r="F18" s="618"/>
      <c r="G18" s="619"/>
      <c r="H18" s="154">
        <v>0.95</v>
      </c>
      <c r="I18" s="155">
        <f>VLOOKUP(I$1,'Scoring Calculator'!$A$3:$BH$11,COLUMN('Scoring Calculator'!M1),FALSE)</f>
        <v>0.36875000000000002</v>
      </c>
      <c r="J18" s="156">
        <f>IF(K18="N/A","N/A",10)</f>
        <v>10</v>
      </c>
      <c r="K18" s="157">
        <f>IF(I18="N/A","N/A",VLOOKUP(I$1,'Scoring Calculator'!$A$3:$BH$11,COLUMN('Scoring Calculator'!AL1),FALSE))</f>
        <v>0</v>
      </c>
      <c r="M18" s="9"/>
      <c r="N18" s="422"/>
      <c r="O18" s="423"/>
    </row>
    <row r="19" spans="1:15" x14ac:dyDescent="0.25">
      <c r="A19" s="9"/>
      <c r="C19" s="660" t="s">
        <v>21</v>
      </c>
      <c r="D19" s="660"/>
      <c r="E19" s="660"/>
      <c r="F19" s="660"/>
      <c r="G19" s="660"/>
      <c r="H19" s="660"/>
      <c r="I19" s="660"/>
      <c r="J19" s="660"/>
      <c r="K19" s="660"/>
      <c r="M19" s="9"/>
      <c r="N19" s="421"/>
      <c r="O19" s="421"/>
    </row>
    <row r="20" spans="1:15" ht="33.75" customHeight="1" x14ac:dyDescent="0.25">
      <c r="A20" s="9"/>
      <c r="B20" s="4">
        <v>3</v>
      </c>
      <c r="C20" s="571" t="s">
        <v>22</v>
      </c>
      <c r="D20" s="572"/>
      <c r="E20" s="572"/>
      <c r="F20" s="572"/>
      <c r="G20" s="573"/>
      <c r="H20" s="154">
        <v>1</v>
      </c>
      <c r="I20" s="155">
        <f>VLOOKUP(I$1,'Scoring Calculator'!$A$3:$BH$11,COLUMN('Scoring Calculator'!N1),FALSE)</f>
        <v>0.82399999999999995</v>
      </c>
      <c r="J20" s="156">
        <f>IF(K20="N/A","N/A",10)</f>
        <v>10</v>
      </c>
      <c r="K20" s="157">
        <f>IF(I20="N/A","N/A",VLOOKUP(I$1,'Scoring Calculator'!$A$3:$BH$11,COLUMN('Scoring Calculator'!AM1),FALSE))</f>
        <v>0</v>
      </c>
      <c r="M20" s="9"/>
      <c r="N20" s="424"/>
      <c r="O20" s="425"/>
    </row>
    <row r="21" spans="1:15" x14ac:dyDescent="0.25">
      <c r="A21" s="9"/>
      <c r="C21" s="667" t="s">
        <v>29</v>
      </c>
      <c r="D21" s="668"/>
      <c r="E21" s="668"/>
      <c r="F21" s="668"/>
      <c r="G21" s="668"/>
      <c r="H21" s="668"/>
      <c r="I21" s="668"/>
      <c r="J21" s="668"/>
      <c r="K21" s="669"/>
      <c r="M21" s="9"/>
      <c r="N21" s="421"/>
      <c r="O21" s="421"/>
    </row>
    <row r="22" spans="1:15" ht="51" customHeight="1" x14ac:dyDescent="0.25">
      <c r="A22" s="9"/>
      <c r="B22" s="4">
        <v>5</v>
      </c>
      <c r="C22" s="571" t="s">
        <v>30</v>
      </c>
      <c r="D22" s="572"/>
      <c r="E22" s="572"/>
      <c r="F22" s="572"/>
      <c r="G22" s="573"/>
      <c r="H22" s="414" t="s">
        <v>158</v>
      </c>
      <c r="I22" s="282">
        <f>VLOOKUP(I$1,'Scoring Calculator'!$A$3:$BH$11,COLUMN('Scoring Calculator'!P1),FALSE)</f>
        <v>21.14</v>
      </c>
      <c r="J22" s="156">
        <f>IF(K22="N/A","N/A",5)</f>
        <v>5</v>
      </c>
      <c r="K22" s="294">
        <f>IF(I22="N/A","N/A",VLOOKUP(I$1,'Scoring Calculator'!$A$3:$BH$11,COLUMN('Scoring Calculator'!AO1),FALSE))</f>
        <v>5</v>
      </c>
      <c r="M22" s="9"/>
      <c r="N22" s="424"/>
      <c r="O22" s="425"/>
    </row>
    <row r="23" spans="1:15" ht="21" customHeight="1" x14ac:dyDescent="0.25">
      <c r="A23" s="9"/>
      <c r="C23" s="660" t="s">
        <v>34</v>
      </c>
      <c r="D23" s="660"/>
      <c r="E23" s="660"/>
      <c r="F23" s="660"/>
      <c r="G23" s="660"/>
      <c r="H23" s="660"/>
      <c r="I23" s="660"/>
      <c r="J23" s="660"/>
      <c r="K23" s="660"/>
      <c r="M23" s="9"/>
      <c r="N23" s="421"/>
      <c r="O23" s="421"/>
    </row>
    <row r="24" spans="1:15" ht="37.5" customHeight="1" x14ac:dyDescent="0.25">
      <c r="A24" s="9"/>
      <c r="B24" s="4">
        <v>6</v>
      </c>
      <c r="C24" s="623" t="s">
        <v>35</v>
      </c>
      <c r="D24" s="624"/>
      <c r="E24" s="624"/>
      <c r="F24" s="624"/>
      <c r="G24" s="625"/>
      <c r="H24" s="306">
        <v>0.25</v>
      </c>
      <c r="I24" s="307">
        <f>VLOOKUP(I$1,'Scoring Calculator'!$A$3:$BH$11,COLUMN('Scoring Calculator'!Q1),FALSE)</f>
        <v>0.13953488372093023</v>
      </c>
      <c r="J24" s="156">
        <f>IF(K24="N/A","N/A",10)</f>
        <v>10</v>
      </c>
      <c r="K24" s="157">
        <f>IF(I24="N/A","N/A",VLOOKUP(I$1,'Scoring Calculator'!$A$3:$BH$11,COLUMN('Scoring Calculator'!AP1),FALSE))</f>
        <v>6</v>
      </c>
      <c r="M24" s="9"/>
      <c r="N24" s="424"/>
      <c r="O24" s="425"/>
    </row>
    <row r="25" spans="1:15" ht="37.5" customHeight="1" x14ac:dyDescent="0.25">
      <c r="A25" s="9"/>
      <c r="B25" s="4">
        <v>7</v>
      </c>
      <c r="C25" s="571" t="s">
        <v>39</v>
      </c>
      <c r="D25" s="572"/>
      <c r="E25" s="572"/>
      <c r="F25" s="572"/>
      <c r="G25" s="573"/>
      <c r="H25" s="306">
        <v>0.15</v>
      </c>
      <c r="I25" s="307">
        <f>VLOOKUP(I$1,'Scoring Calculator'!$A$3:$BH$11,COLUMN('Scoring Calculator'!R1),FALSE)</f>
        <v>0.11627906976744186</v>
      </c>
      <c r="J25" s="156">
        <f>IF(K25="N/A","N/A",5)</f>
        <v>5</v>
      </c>
      <c r="K25" s="157">
        <f>IF(I25="N/A","N/A",VLOOKUP(I$1,'Scoring Calculator'!$A$3:$BH$11,COLUMN('Scoring Calculator'!AQ1),FALSE))</f>
        <v>3</v>
      </c>
      <c r="M25" s="9"/>
      <c r="N25" s="424"/>
      <c r="O25" s="425"/>
    </row>
    <row r="26" spans="1:15" ht="37.5" customHeight="1" x14ac:dyDescent="0.25">
      <c r="A26" s="9"/>
      <c r="B26" s="4">
        <v>8</v>
      </c>
      <c r="C26" s="626" t="s">
        <v>42</v>
      </c>
      <c r="D26" s="627"/>
      <c r="E26" s="627"/>
      <c r="F26" s="627"/>
      <c r="G26" s="628"/>
      <c r="H26" s="306">
        <v>0.7</v>
      </c>
      <c r="I26" s="307">
        <f>VLOOKUP(I$1,'Scoring Calculator'!$A$3:$BH$11,COLUMN('Scoring Calculator'!S1),FALSE)</f>
        <v>0.46511627906976744</v>
      </c>
      <c r="J26" s="156">
        <f>IF(K26="N/A","N/A",5)</f>
        <v>5</v>
      </c>
      <c r="K26" s="157">
        <f>IF(I26="N/A","N/A",VLOOKUP(I$1,'Scoring Calculator'!$A$3:$BH$11,COLUMN('Scoring Calculator'!AR1),FALSE))</f>
        <v>1</v>
      </c>
      <c r="M26" s="9"/>
      <c r="N26" s="424"/>
      <c r="O26" s="425"/>
    </row>
    <row r="27" spans="1:15" ht="37.5" customHeight="1" x14ac:dyDescent="0.25">
      <c r="A27" s="9"/>
      <c r="B27" s="4">
        <v>9</v>
      </c>
      <c r="C27" s="571" t="s">
        <v>45</v>
      </c>
      <c r="D27" s="572"/>
      <c r="E27" s="572"/>
      <c r="F27" s="572"/>
      <c r="G27" s="573"/>
      <c r="H27" s="306">
        <v>0.55000000000000004</v>
      </c>
      <c r="I27" s="155">
        <f>VLOOKUP(I$1,'Scoring Calculator'!$A$3:$BH$11,COLUMN('Scoring Calculator'!T1),FALSE)</f>
        <v>0.76190476190476186</v>
      </c>
      <c r="J27" s="156">
        <f>IF(K27="N/A","N/A",3)</f>
        <v>3</v>
      </c>
      <c r="K27" s="157">
        <f>IF(I27="N/A","N/A",VLOOKUP(I$1,'Scoring Calculator'!$A$3:$BH$11,COLUMN('Scoring Calculator'!AS1),FALSE))</f>
        <v>3</v>
      </c>
      <c r="M27" s="9"/>
      <c r="N27" s="424"/>
      <c r="O27" s="425"/>
    </row>
    <row r="28" spans="1:15" x14ac:dyDescent="0.25">
      <c r="A28" s="9"/>
      <c r="C28" s="660" t="s">
        <v>49</v>
      </c>
      <c r="D28" s="660"/>
      <c r="E28" s="660"/>
      <c r="F28" s="660"/>
      <c r="G28" s="660"/>
      <c r="H28" s="660"/>
      <c r="I28" s="660"/>
      <c r="J28" s="660"/>
      <c r="K28" s="660"/>
      <c r="M28" s="9"/>
      <c r="N28" s="421"/>
      <c r="O28" s="421"/>
    </row>
    <row r="29" spans="1:15" ht="21" customHeight="1" x14ac:dyDescent="0.25">
      <c r="A29" s="9"/>
      <c r="B29" s="4">
        <v>10</v>
      </c>
      <c r="C29" s="661" t="s">
        <v>50</v>
      </c>
      <c r="D29" s="662"/>
      <c r="E29" s="662"/>
      <c r="F29" s="662"/>
      <c r="G29" s="663"/>
      <c r="H29" s="154">
        <v>0.5</v>
      </c>
      <c r="I29" s="158">
        <f>VLOOKUP(I$1,'Scoring Calculator'!$A$3:$BH$11,COLUMN('Scoring Calculator'!U1),FALSE)</f>
        <v>0.56944444444444442</v>
      </c>
      <c r="J29" s="159">
        <f>IF(K29="N/A","N/A",5)</f>
        <v>5</v>
      </c>
      <c r="K29" s="160">
        <f>IF(I29="N/A","N/A",VLOOKUP(I$1,'Scoring Calculator'!$A$3:$BH$11,COLUMN('Scoring Calculator'!AT1),FALSE))</f>
        <v>5</v>
      </c>
      <c r="M29" s="9"/>
      <c r="N29" s="424"/>
      <c r="O29" s="425"/>
    </row>
    <row r="30" spans="1:15" x14ac:dyDescent="0.25">
      <c r="A30" s="9"/>
      <c r="B30" s="4"/>
      <c r="C30" s="660" t="s">
        <v>53</v>
      </c>
      <c r="D30" s="660"/>
      <c r="E30" s="660"/>
      <c r="F30" s="660"/>
      <c r="G30" s="660"/>
      <c r="H30" s="660"/>
      <c r="I30" s="660"/>
      <c r="J30" s="660"/>
      <c r="K30" s="660"/>
      <c r="M30" s="9"/>
      <c r="N30" s="421"/>
      <c r="O30" s="421"/>
    </row>
    <row r="31" spans="1:15" ht="21" customHeight="1" x14ac:dyDescent="0.25">
      <c r="A31" s="9"/>
      <c r="B31" s="4">
        <v>12</v>
      </c>
      <c r="C31" s="659" t="s">
        <v>177</v>
      </c>
      <c r="D31" s="659"/>
      <c r="E31" s="659"/>
      <c r="F31" s="659"/>
      <c r="G31" s="659"/>
      <c r="H31" s="154">
        <v>0.85</v>
      </c>
      <c r="I31" s="158">
        <f>VLOOKUP(I$1,'Scoring Calculator'!$A$3:$BH$11,COLUMN('Scoring Calculator'!W1),FALSE)</f>
        <v>0.90500000000000003</v>
      </c>
      <c r="J31" s="159">
        <f>IF(K31="N/A","N/A",5)</f>
        <v>5</v>
      </c>
      <c r="K31" s="160">
        <f>IF(I31="N/A","N/A",VLOOKUP(I$1,'Scoring Calculator'!$A$3:$BH$11,COLUMN('Scoring Calculator'!AV1),FALSE))</f>
        <v>5</v>
      </c>
      <c r="M31" s="9"/>
      <c r="N31" s="424"/>
      <c r="O31" s="425"/>
    </row>
    <row r="32" spans="1:15" ht="30" customHeight="1" x14ac:dyDescent="0.25">
      <c r="A32" s="9"/>
      <c r="B32" s="4">
        <v>13</v>
      </c>
      <c r="C32" s="659" t="s">
        <v>59</v>
      </c>
      <c r="D32" s="659"/>
      <c r="E32" s="659"/>
      <c r="F32" s="659"/>
      <c r="G32" s="659"/>
      <c r="H32" s="154" t="s">
        <v>60</v>
      </c>
      <c r="I32" s="158">
        <f>VLOOKUP(I$1,'Scoring Calculator'!$A$3:$BH$11,COLUMN('Scoring Calculator'!X1),FALSE)</f>
        <v>0</v>
      </c>
      <c r="J32" s="159">
        <f>IF(K32="N/A","N/A",5)</f>
        <v>5</v>
      </c>
      <c r="K32" s="157">
        <f>IF(I32="N/A","N/A",VLOOKUP(I$1,'Scoring Calculator'!$A$3:$BH$11,COLUMN('Scoring Calculator'!AW1),FALSE))</f>
        <v>5</v>
      </c>
      <c r="M32" s="9"/>
      <c r="N32" s="424"/>
      <c r="O32" s="425"/>
    </row>
    <row r="33" spans="1:15" ht="33.75" customHeight="1" x14ac:dyDescent="0.25">
      <c r="A33" s="9"/>
      <c r="B33" s="4">
        <v>14</v>
      </c>
      <c r="C33" s="571" t="s">
        <v>62</v>
      </c>
      <c r="D33" s="572"/>
      <c r="E33" s="572"/>
      <c r="F33" s="572"/>
      <c r="G33" s="573"/>
      <c r="H33" s="161" t="s">
        <v>64</v>
      </c>
      <c r="I33" s="277">
        <f>VLOOKUP(I$1,'Scoring Calculator'!$A$3:$BH$11,COLUMN('Scoring Calculator'!Y1),FALSE)</f>
        <v>0.125</v>
      </c>
      <c r="J33" s="162">
        <f>IF(K33="N/A","N/A",10)</f>
        <v>10</v>
      </c>
      <c r="K33" s="278">
        <f>IF(I33="N/A","N/A",VLOOKUP(I$1,'Scoring Calculator'!$A$3:$BH$11,COLUMN('Scoring Calculator'!AX1),FALSE))</f>
        <v>10</v>
      </c>
      <c r="M33" s="9"/>
      <c r="N33" s="424"/>
      <c r="O33" s="425"/>
    </row>
    <row r="34" spans="1:15" x14ac:dyDescent="0.25">
      <c r="A34" s="9"/>
      <c r="B34" s="4"/>
      <c r="C34" s="655" t="s">
        <v>160</v>
      </c>
      <c r="D34" s="656"/>
      <c r="E34" s="656"/>
      <c r="F34" s="656"/>
      <c r="G34" s="656"/>
      <c r="H34" s="657"/>
      <c r="I34" s="658"/>
      <c r="J34" s="308">
        <f>SUM(J17:J33)</f>
        <v>83</v>
      </c>
      <c r="K34" s="309">
        <f>SUM(K17:K33)</f>
        <v>48</v>
      </c>
      <c r="M34" s="9"/>
      <c r="N34" s="426"/>
      <c r="O34" s="426"/>
    </row>
    <row r="35" spans="1:15" x14ac:dyDescent="0.25">
      <c r="A35" s="9"/>
      <c r="B35" s="4"/>
      <c r="C35" s="568" t="s">
        <v>66</v>
      </c>
      <c r="D35" s="569"/>
      <c r="E35" s="569"/>
      <c r="F35" s="569"/>
      <c r="G35" s="569"/>
      <c r="H35" s="569"/>
      <c r="I35" s="569"/>
      <c r="J35" s="569"/>
      <c r="K35" s="570"/>
      <c r="M35" s="9"/>
      <c r="N35" s="427"/>
      <c r="O35" s="427"/>
    </row>
    <row r="36" spans="1:15" ht="30.6" customHeight="1" x14ac:dyDescent="0.25">
      <c r="A36" s="9"/>
      <c r="B36" s="4">
        <v>15</v>
      </c>
      <c r="C36" s="571" t="s">
        <v>67</v>
      </c>
      <c r="D36" s="572"/>
      <c r="E36" s="572"/>
      <c r="F36" s="572"/>
      <c r="G36" s="573"/>
      <c r="H36" s="163">
        <v>0.75</v>
      </c>
      <c r="I36" s="307">
        <f>VLOOKUP(I$1,'Scoring Calculator'!$A$3:$BH$11,COLUMN('Scoring Calculator'!Z1),FALSE)</f>
        <v>0.28846153846153844</v>
      </c>
      <c r="J36" s="164">
        <f>IF(K36="N/A","N/A",2)</f>
        <v>2</v>
      </c>
      <c r="K36" s="165">
        <f>IF(I36="N/A","N/A",VLOOKUP(I$1,'Scoring Calculator'!$A$3:$BH$11,COLUMN('Scoring Calculator'!AY1),FALSE))</f>
        <v>0</v>
      </c>
      <c r="M36" s="9"/>
      <c r="N36" s="424"/>
      <c r="O36" s="425"/>
    </row>
    <row r="37" spans="1:15" x14ac:dyDescent="0.25">
      <c r="A37" s="9"/>
      <c r="B37" s="4"/>
      <c r="C37" s="574" t="s">
        <v>161</v>
      </c>
      <c r="D37" s="575"/>
      <c r="E37" s="575"/>
      <c r="F37" s="575"/>
      <c r="G37" s="575"/>
      <c r="H37" s="576"/>
      <c r="I37" s="577"/>
      <c r="J37" s="166">
        <f>J36</f>
        <v>2</v>
      </c>
      <c r="K37" s="167">
        <f>K36</f>
        <v>0</v>
      </c>
      <c r="M37" s="9"/>
      <c r="N37" s="426"/>
      <c r="O37" s="426"/>
    </row>
    <row r="38" spans="1:15" x14ac:dyDescent="0.25">
      <c r="A38" s="9"/>
      <c r="B38" s="4"/>
      <c r="C38" s="601" t="s">
        <v>70</v>
      </c>
      <c r="D38" s="602"/>
      <c r="E38" s="602"/>
      <c r="F38" s="602"/>
      <c r="G38" s="602"/>
      <c r="H38" s="602"/>
      <c r="I38" s="602"/>
      <c r="J38" s="602"/>
      <c r="K38" s="604"/>
      <c r="M38" s="9"/>
      <c r="N38" s="427"/>
      <c r="O38" s="427"/>
    </row>
    <row r="39" spans="1:15" ht="29.1" customHeight="1" x14ac:dyDescent="0.25">
      <c r="A39" s="9"/>
      <c r="B39" s="4">
        <v>16</v>
      </c>
      <c r="C39" s="571" t="s">
        <v>162</v>
      </c>
      <c r="D39" s="572"/>
      <c r="E39" s="572"/>
      <c r="F39" s="572"/>
      <c r="G39" s="573"/>
      <c r="H39" s="161" t="s">
        <v>73</v>
      </c>
      <c r="I39" s="293">
        <f>VLOOKUP(I$1,'Scoring Calculator'!$A$3:$BH$11,COLUMN('Scoring Calculator'!AA1),FALSE)</f>
        <v>0.25</v>
      </c>
      <c r="J39" s="168">
        <f>IF(K39="N/A","N/A",5)</f>
        <v>5</v>
      </c>
      <c r="K39" s="310">
        <f>IF(I39="N/A","N/A",VLOOKUP(I$1,'Scoring Calculator'!$A$3:$BH$11,COLUMN('Scoring Calculator'!AZ1),FALSE))</f>
        <v>5</v>
      </c>
      <c r="M39" s="9"/>
      <c r="N39" s="424"/>
      <c r="O39" s="425"/>
    </row>
    <row r="40" spans="1:15" ht="30" x14ac:dyDescent="0.25">
      <c r="A40" s="9"/>
      <c r="B40" s="4">
        <v>17</v>
      </c>
      <c r="C40" s="571" t="s">
        <v>75</v>
      </c>
      <c r="D40" s="572"/>
      <c r="E40" s="572"/>
      <c r="F40" s="572"/>
      <c r="G40" s="573"/>
      <c r="H40" s="169" t="s">
        <v>76</v>
      </c>
      <c r="I40" s="293" t="str">
        <f>VLOOKUP(I$1,'Scoring Calculator'!$A$3:$BH$11,COLUMN('Scoring Calculator'!AB1),FALSE)</f>
        <v>Yes</v>
      </c>
      <c r="J40" s="168">
        <f>IF(K40="N/A","N/A",5)</f>
        <v>5</v>
      </c>
      <c r="K40" s="310">
        <f>IF(I40="N/A","N/A",VLOOKUP(I$1,'Scoring Calculator'!$A$3:$BH$11,COLUMN('Scoring Calculator'!BA1),FALSE))</f>
        <v>5</v>
      </c>
      <c r="M40" s="9"/>
      <c r="N40" s="424"/>
      <c r="O40" s="425"/>
    </row>
    <row r="41" spans="1:15" ht="30" x14ac:dyDescent="0.25">
      <c r="A41" s="9"/>
      <c r="B41" s="4">
        <v>18</v>
      </c>
      <c r="C41" s="677" t="s">
        <v>78</v>
      </c>
      <c r="D41" s="678"/>
      <c r="E41" s="678"/>
      <c r="F41" s="678"/>
      <c r="G41" s="679"/>
      <c r="H41" s="170" t="s">
        <v>163</v>
      </c>
      <c r="I41" s="311" t="str">
        <f>VLOOKUP(I$1,'Scoring Calculator'!$A$3:$BH$11,COLUMN('Scoring Calculator'!AC1),FALSE)</f>
        <v>Yes</v>
      </c>
      <c r="J41" s="168">
        <f>IF(K41="N/A","N/A",2)</f>
        <v>2</v>
      </c>
      <c r="K41" s="312">
        <f>IF(I41="N/A","N/A",VLOOKUP(I$1,'Scoring Calculator'!$A$3:$BH$11,COLUMN('Scoring Calculator'!BB1),FALSE))</f>
        <v>2</v>
      </c>
      <c r="M41" s="9"/>
      <c r="N41" s="424"/>
      <c r="O41" s="425"/>
    </row>
    <row r="42" spans="1:15" ht="16.5" customHeight="1" x14ac:dyDescent="0.25">
      <c r="A42" s="9"/>
      <c r="B42" s="4"/>
      <c r="C42" s="683" t="s">
        <v>164</v>
      </c>
      <c r="D42" s="684"/>
      <c r="E42" s="684"/>
      <c r="F42" s="684"/>
      <c r="G42" s="684"/>
      <c r="H42" s="680"/>
      <c r="I42" s="681"/>
      <c r="J42" s="313">
        <f>SUM(J39:J41)</f>
        <v>12</v>
      </c>
      <c r="K42" s="313">
        <f>SUM(K39:K41)</f>
        <v>12</v>
      </c>
      <c r="M42" s="9"/>
      <c r="N42" s="426"/>
      <c r="O42" s="426"/>
    </row>
    <row r="43" spans="1:15" x14ac:dyDescent="0.25">
      <c r="A43" s="9"/>
      <c r="B43" s="4"/>
      <c r="C43" s="601" t="s">
        <v>82</v>
      </c>
      <c r="D43" s="602"/>
      <c r="E43" s="602"/>
      <c r="F43" s="602"/>
      <c r="G43" s="602"/>
      <c r="H43" s="603"/>
      <c r="I43" s="603"/>
      <c r="J43" s="602"/>
      <c r="K43" s="604"/>
      <c r="M43" s="9"/>
      <c r="N43" s="427"/>
      <c r="O43" s="427"/>
    </row>
    <row r="44" spans="1:15" ht="33" customHeight="1" x14ac:dyDescent="0.25">
      <c r="A44" s="9"/>
      <c r="B44" s="4">
        <v>19</v>
      </c>
      <c r="C44" s="588" t="s">
        <v>165</v>
      </c>
      <c r="D44" s="589"/>
      <c r="E44" s="589"/>
      <c r="F44" s="589"/>
      <c r="G44" s="605"/>
      <c r="H44" s="171" t="s">
        <v>85</v>
      </c>
      <c r="I44" s="293" t="str">
        <f>VLOOKUP(I$1,'Scoring Calculator'!$A$3:$BH$11,COLUMN('Scoring Calculator'!AD2),FALSE)</f>
        <v>Yes</v>
      </c>
      <c r="J44" s="168">
        <f>IF(K44="N/A","N/A",3)</f>
        <v>3</v>
      </c>
      <c r="K44" s="294">
        <f>IF(I44="N/A","N/A",VLOOKUP(I$1,'Scoring Calculator'!$A$3:$BH$11,COLUMN('Scoring Calculator'!BC1),FALSE))</f>
        <v>3</v>
      </c>
      <c r="M44" s="9"/>
      <c r="N44" s="424"/>
      <c r="O44" s="425"/>
    </row>
    <row r="45" spans="1:15" x14ac:dyDescent="0.25">
      <c r="A45" s="9"/>
      <c r="B45" s="4"/>
      <c r="C45" s="606" t="s">
        <v>166</v>
      </c>
      <c r="D45" s="607"/>
      <c r="E45" s="607"/>
      <c r="F45" s="607"/>
      <c r="G45" s="607"/>
      <c r="H45" s="608"/>
      <c r="I45" s="609"/>
      <c r="J45" s="172">
        <f>IF(J44="N/A",0,J44)</f>
        <v>3</v>
      </c>
      <c r="K45" s="172">
        <f>IF(K44="N/A",0,K44)</f>
        <v>3</v>
      </c>
      <c r="M45" s="9"/>
      <c r="N45" s="426"/>
      <c r="O45" s="426"/>
    </row>
    <row r="46" spans="1:15" ht="27.75" customHeight="1" x14ac:dyDescent="0.25">
      <c r="A46" s="9"/>
      <c r="B46" s="4"/>
      <c r="C46" s="682" t="s">
        <v>167</v>
      </c>
      <c r="D46" s="682"/>
      <c r="E46" s="682"/>
      <c r="F46" s="682"/>
      <c r="G46" s="682"/>
      <c r="H46" s="682"/>
      <c r="I46" s="682"/>
      <c r="J46" s="173">
        <f>_xlfn.AGGREGATE(9,2,(J34,J37,J42,J45))</f>
        <v>100</v>
      </c>
      <c r="K46" s="173">
        <f>_xlfn.AGGREGATE(9,2,K34,K37,K42,K45)</f>
        <v>63</v>
      </c>
      <c r="M46" s="9"/>
      <c r="N46" s="424" t="s">
        <v>611</v>
      </c>
      <c r="O46" s="425"/>
    </row>
    <row r="47" spans="1:15" x14ac:dyDescent="0.25">
      <c r="A47" s="9"/>
      <c r="B47" s="4"/>
      <c r="C47" s="601" t="s">
        <v>168</v>
      </c>
      <c r="D47" s="602"/>
      <c r="E47" s="602"/>
      <c r="F47" s="602"/>
      <c r="G47" s="602"/>
      <c r="H47" s="603"/>
      <c r="I47" s="603"/>
      <c r="J47" s="602"/>
      <c r="K47" s="604"/>
      <c r="M47" s="9"/>
      <c r="N47" s="427"/>
      <c r="O47" s="427"/>
    </row>
    <row r="48" spans="1:15" ht="38.450000000000003" customHeight="1" x14ac:dyDescent="0.25">
      <c r="A48" s="9"/>
      <c r="B48" s="4">
        <v>20</v>
      </c>
      <c r="C48" s="588" t="s">
        <v>91</v>
      </c>
      <c r="D48" s="589"/>
      <c r="E48" s="589"/>
      <c r="F48" s="589"/>
      <c r="G48" s="589"/>
      <c r="H48" s="646" t="s">
        <v>169</v>
      </c>
      <c r="I48" s="314">
        <f>VLOOKUP(I$1,'Scoring Calculator'!$A$3:$BH$11,COLUMN('Scoring Calculator'!AE1),FALSE)</f>
        <v>0.47580645161290325</v>
      </c>
      <c r="J48" s="174">
        <f>IF(K48="N/A","N/A",2)</f>
        <v>2</v>
      </c>
      <c r="K48" s="315">
        <f>IF(I48="N/A","N/A",VLOOKUP(I$1,'Scoring Calculator'!$A$3:$BH$11,COLUMN('Scoring Calculator'!BD1),FALSE))</f>
        <v>0.95161290322580649</v>
      </c>
      <c r="M48" s="9"/>
      <c r="N48" s="424"/>
      <c r="O48" s="425"/>
    </row>
    <row r="49" spans="1:15" ht="36.950000000000003" customHeight="1" x14ac:dyDescent="0.25">
      <c r="A49" s="9"/>
      <c r="B49" s="4">
        <v>21</v>
      </c>
      <c r="C49" s="588" t="s">
        <v>94</v>
      </c>
      <c r="D49" s="589"/>
      <c r="E49" s="589"/>
      <c r="F49" s="589"/>
      <c r="G49" s="589"/>
      <c r="H49" s="647"/>
      <c r="I49" s="314">
        <f>VLOOKUP(I$1,'Scoring Calculator'!$A$3:$BH$11,COLUMN('Scoring Calculator'!AF1),FALSE)</f>
        <v>0.48</v>
      </c>
      <c r="J49" s="174">
        <f t="shared" ref="J49:J52" si="0">IF(K49="N/A","N/A",2)</f>
        <v>2</v>
      </c>
      <c r="K49" s="316">
        <f>IF(I49="N/A","N/A",VLOOKUP(I$1,'Scoring Calculator'!$A$3:$BH$11,COLUMN('Scoring Calculator'!BE1),FALSE))</f>
        <v>0.96</v>
      </c>
      <c r="M49" s="9"/>
      <c r="N49" s="424"/>
      <c r="O49" s="425"/>
    </row>
    <row r="50" spans="1:15" ht="40.5" customHeight="1" x14ac:dyDescent="0.25">
      <c r="A50" s="9"/>
      <c r="B50" s="4">
        <v>22</v>
      </c>
      <c r="C50" s="588" t="s">
        <v>96</v>
      </c>
      <c r="D50" s="589"/>
      <c r="E50" s="589"/>
      <c r="F50" s="589"/>
      <c r="G50" s="589"/>
      <c r="H50" s="647"/>
      <c r="I50" s="314">
        <f>VLOOKUP(I$1,'Scoring Calculator'!$A$3:$BH$11,COLUMN('Scoring Calculator'!AG1),FALSE)</f>
        <v>0.44</v>
      </c>
      <c r="J50" s="174">
        <f t="shared" si="0"/>
        <v>2</v>
      </c>
      <c r="K50" s="316">
        <f>IF(I50="N/A","N/A",VLOOKUP(I$1,'Scoring Calculator'!$A$3:$BH$11,COLUMN('Scoring Calculator'!BF1),FALSE))</f>
        <v>0.88</v>
      </c>
      <c r="M50" s="9"/>
      <c r="N50" s="424"/>
      <c r="O50" s="425"/>
    </row>
    <row r="51" spans="1:15" ht="40.5" customHeight="1" x14ac:dyDescent="0.25">
      <c r="A51" s="9"/>
      <c r="B51" s="4">
        <v>23</v>
      </c>
      <c r="C51" s="588" t="s">
        <v>98</v>
      </c>
      <c r="D51" s="589"/>
      <c r="E51" s="589"/>
      <c r="F51" s="589"/>
      <c r="G51" s="589"/>
      <c r="H51" s="647"/>
      <c r="I51" s="314">
        <f>VLOOKUP(I$1,'Scoring Calculator'!$A$3:$BH$11,COLUMN('Scoring Calculator'!AH1),FALSE)</f>
        <v>0.20161290322580644</v>
      </c>
      <c r="J51" s="174">
        <f t="shared" si="0"/>
        <v>2</v>
      </c>
      <c r="K51" s="316">
        <f>IF(I51="N/A","N/A",VLOOKUP(I$1,'Scoring Calculator'!$A$3:$BH$11,COLUMN('Scoring Calculator'!BG1),FALSE))</f>
        <v>0.40322580645161288</v>
      </c>
      <c r="M51" s="9"/>
      <c r="N51" s="424"/>
      <c r="O51" s="425"/>
    </row>
    <row r="52" spans="1:15" ht="40.5" customHeight="1" x14ac:dyDescent="0.25">
      <c r="A52" s="9"/>
      <c r="B52" s="4">
        <v>24</v>
      </c>
      <c r="C52" s="588" t="s">
        <v>100</v>
      </c>
      <c r="D52" s="589"/>
      <c r="E52" s="589"/>
      <c r="F52" s="589"/>
      <c r="G52" s="649"/>
      <c r="H52" s="648"/>
      <c r="I52" s="314">
        <f>VLOOKUP(I$1,'Scoring Calculator'!$A$3:$BH$11,COLUMN('Scoring Calculator'!AI1),FALSE)</f>
        <v>0.10483870967741936</v>
      </c>
      <c r="J52" s="174">
        <f t="shared" si="0"/>
        <v>2</v>
      </c>
      <c r="K52" s="316">
        <f>IF(I52="N/A","N/A",VLOOKUP(I$1,'Scoring Calculator'!$A$3:$BH$11,COLUMN('Scoring Calculator'!BH1),FALSE))</f>
        <v>0.20967741935483872</v>
      </c>
      <c r="M52" s="9"/>
      <c r="N52" s="424"/>
      <c r="O52" s="425"/>
    </row>
    <row r="53" spans="1:15" ht="27.75" customHeight="1" x14ac:dyDescent="0.25">
      <c r="A53" s="9"/>
      <c r="B53" s="4"/>
      <c r="C53" s="596" t="s">
        <v>170</v>
      </c>
      <c r="D53" s="597"/>
      <c r="E53" s="597"/>
      <c r="F53" s="597"/>
      <c r="G53" s="597"/>
      <c r="H53" s="653"/>
      <c r="I53" s="654"/>
      <c r="J53" s="148">
        <f>SUM(J48:J52)</f>
        <v>10</v>
      </c>
      <c r="K53" s="149">
        <f>SUM(K48:K52)</f>
        <v>3.4045161290322579</v>
      </c>
      <c r="M53" s="9"/>
      <c r="N53" s="424" t="s">
        <v>134</v>
      </c>
      <c r="O53" s="425"/>
    </row>
    <row r="54" spans="1:15" ht="18" customHeight="1" x14ac:dyDescent="0.25">
      <c r="A54" s="9"/>
      <c r="B54" s="4"/>
      <c r="C54" s="674" t="s">
        <v>171</v>
      </c>
      <c r="D54" s="675"/>
      <c r="E54" s="675"/>
      <c r="F54" s="675"/>
      <c r="G54" s="675"/>
      <c r="H54" s="675"/>
      <c r="I54" s="675"/>
      <c r="J54" s="675"/>
      <c r="K54" s="676"/>
      <c r="M54" s="9"/>
      <c r="N54" s="428"/>
      <c r="O54" s="428"/>
    </row>
    <row r="55" spans="1:15" ht="22.5" customHeight="1" x14ac:dyDescent="0.25">
      <c r="A55" s="9"/>
      <c r="B55" s="4"/>
      <c r="C55" s="650" t="s">
        <v>172</v>
      </c>
      <c r="D55" s="651"/>
      <c r="E55" s="651"/>
      <c r="F55" s="651"/>
      <c r="G55" s="651"/>
      <c r="H55" s="651"/>
      <c r="I55" s="652"/>
      <c r="J55" s="175">
        <f>J46</f>
        <v>100</v>
      </c>
      <c r="K55" s="176">
        <f>K46</f>
        <v>63</v>
      </c>
      <c r="M55" s="9"/>
      <c r="N55" s="424" t="s">
        <v>611</v>
      </c>
      <c r="O55" s="425"/>
    </row>
    <row r="56" spans="1:15" ht="22.5" customHeight="1" x14ac:dyDescent="0.25">
      <c r="A56" s="9"/>
      <c r="B56" s="4"/>
      <c r="C56" s="650" t="s">
        <v>173</v>
      </c>
      <c r="D56" s="651"/>
      <c r="E56" s="651"/>
      <c r="F56" s="651"/>
      <c r="G56" s="651"/>
      <c r="H56" s="651"/>
      <c r="I56" s="652"/>
      <c r="J56" s="177">
        <f>J53</f>
        <v>10</v>
      </c>
      <c r="K56" s="178">
        <f>K53</f>
        <v>3.4045161290322579</v>
      </c>
      <c r="M56" s="9"/>
      <c r="N56" s="424" t="s">
        <v>134</v>
      </c>
      <c r="O56" s="425"/>
    </row>
    <row r="57" spans="1:15" ht="47.25" customHeight="1" x14ac:dyDescent="0.25">
      <c r="A57" s="9"/>
      <c r="B57" s="4"/>
      <c r="C57" s="584" t="s">
        <v>174</v>
      </c>
      <c r="D57" s="585"/>
      <c r="E57" s="585"/>
      <c r="F57" s="585"/>
      <c r="G57" s="585"/>
      <c r="H57" s="673" t="s">
        <v>175</v>
      </c>
      <c r="I57" s="673"/>
      <c r="J57" s="673"/>
      <c r="K57" s="179">
        <f>(((K55/J55)*100)+K56)</f>
        <v>66.40451612903226</v>
      </c>
      <c r="M57" s="9"/>
      <c r="N57" s="424" t="s">
        <v>155</v>
      </c>
      <c r="O57" s="425"/>
    </row>
    <row r="58" spans="1:15" x14ac:dyDescent="0.25">
      <c r="A58" s="9"/>
      <c r="C58" s="21"/>
      <c r="D58" s="21"/>
      <c r="E58" s="21"/>
      <c r="F58" s="21"/>
      <c r="G58" s="21"/>
      <c r="H58" s="22"/>
      <c r="I58" s="22"/>
      <c r="J58" s="22"/>
      <c r="K58" s="22"/>
      <c r="M58" s="9"/>
    </row>
    <row r="59" spans="1:15" x14ac:dyDescent="0.25">
      <c r="A59" s="9"/>
      <c r="B59" s="14"/>
      <c r="C59" s="17"/>
      <c r="D59" s="17"/>
      <c r="E59" s="17"/>
      <c r="F59" s="17"/>
      <c r="G59" s="17"/>
      <c r="H59" s="18"/>
      <c r="I59" s="18"/>
      <c r="J59" s="18"/>
      <c r="K59" s="18"/>
      <c r="L59" s="9"/>
      <c r="M59" s="9"/>
    </row>
    <row r="61" spans="1:15" ht="23.25" customHeight="1" x14ac:dyDescent="0.25"/>
    <row r="62" spans="1:15" ht="23.25" customHeight="1" x14ac:dyDescent="0.25"/>
    <row r="63" spans="1:15" ht="23.25" customHeight="1" x14ac:dyDescent="0.25"/>
    <row r="65" ht="15.75" customHeight="1" x14ac:dyDescent="0.25"/>
    <row r="66" ht="15.75" customHeight="1" x14ac:dyDescent="0.25"/>
    <row r="67" ht="15.75" customHeight="1" x14ac:dyDescent="0.25"/>
  </sheetData>
  <mergeCells count="60">
    <mergeCell ref="C41:G41"/>
    <mergeCell ref="C45:G45"/>
    <mergeCell ref="C52:G52"/>
    <mergeCell ref="H48:H52"/>
    <mergeCell ref="C56:I56"/>
    <mergeCell ref="C43:K43"/>
    <mergeCell ref="C44:G44"/>
    <mergeCell ref="H45:I45"/>
    <mergeCell ref="C49:G49"/>
    <mergeCell ref="H42:I42"/>
    <mergeCell ref="C47:K47"/>
    <mergeCell ref="C48:G48"/>
    <mergeCell ref="C46:I46"/>
    <mergeCell ref="C42:G42"/>
    <mergeCell ref="H57:J57"/>
    <mergeCell ref="C54:K54"/>
    <mergeCell ref="C50:G50"/>
    <mergeCell ref="C55:I55"/>
    <mergeCell ref="C57:G57"/>
    <mergeCell ref="C53:G53"/>
    <mergeCell ref="H53:I53"/>
    <mergeCell ref="C51:G51"/>
    <mergeCell ref="C21:K21"/>
    <mergeCell ref="C22:G22"/>
    <mergeCell ref="C15:K15"/>
    <mergeCell ref="C16:K16"/>
    <mergeCell ref="C17:G17"/>
    <mergeCell ref="C18:G18"/>
    <mergeCell ref="C19:K19"/>
    <mergeCell ref="C20:G20"/>
    <mergeCell ref="C3:K3"/>
    <mergeCell ref="C12:G14"/>
    <mergeCell ref="H12:H13"/>
    <mergeCell ref="I12:I14"/>
    <mergeCell ref="J12:J14"/>
    <mergeCell ref="K12:K14"/>
    <mergeCell ref="J7:K7"/>
    <mergeCell ref="J5:K5"/>
    <mergeCell ref="C25:G25"/>
    <mergeCell ref="C27:G27"/>
    <mergeCell ref="C30:K30"/>
    <mergeCell ref="C26:G26"/>
    <mergeCell ref="C28:K28"/>
    <mergeCell ref="C29:G29"/>
    <mergeCell ref="N12:N14"/>
    <mergeCell ref="O12:O14"/>
    <mergeCell ref="C40:G40"/>
    <mergeCell ref="C34:G34"/>
    <mergeCell ref="H34:I34"/>
    <mergeCell ref="C38:K38"/>
    <mergeCell ref="C39:G39"/>
    <mergeCell ref="C31:G31"/>
    <mergeCell ref="C32:G32"/>
    <mergeCell ref="C35:K35"/>
    <mergeCell ref="C36:G36"/>
    <mergeCell ref="C37:G37"/>
    <mergeCell ref="H37:I37"/>
    <mergeCell ref="C33:G33"/>
    <mergeCell ref="C23:K23"/>
    <mergeCell ref="C24:G24"/>
  </mergeCells>
  <printOptions verticalCentered="1"/>
  <pageMargins left="0.25" right="0.25" top="0.25" bottom="0.25" header="0.3" footer="0.3"/>
  <pageSetup scale="58"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35E072A-7249-4E4B-B386-D4A6774CA114}">
          <x14:formula1>
            <xm:f>'vlookup- do not delete'!$A$2:$A$8</xm:f>
          </x14:formula1>
          <xm:sqref>I1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10"/>
  <sheetViews>
    <sheetView zoomScaleNormal="100" workbookViewId="0">
      <selection activeCell="A2" sqref="A2"/>
    </sheetView>
  </sheetViews>
  <sheetFormatPr defaultColWidth="8.7109375" defaultRowHeight="15" x14ac:dyDescent="0.25"/>
  <cols>
    <col min="1" max="1" width="12.5703125" style="4" bestFit="1" customWidth="1"/>
    <col min="2" max="2" width="22.42578125" style="10" bestFit="1" customWidth="1"/>
    <col min="3" max="3" width="10.42578125" style="8" customWidth="1"/>
    <col min="4" max="4" width="17.85546875" style="8" customWidth="1"/>
    <col min="5" max="5" width="17" style="8" customWidth="1"/>
    <col min="6" max="6" width="13.42578125" style="8" customWidth="1"/>
    <col min="7" max="7" width="14.28515625" style="10" customWidth="1"/>
    <col min="8" max="8" width="12.140625" style="8" customWidth="1"/>
    <col min="9" max="16384" width="8.7109375" style="8"/>
  </cols>
  <sheetData>
    <row r="1" spans="1:9" ht="21.6" customHeight="1" thickBot="1" x14ac:dyDescent="0.3">
      <c r="A1" s="685" t="s">
        <v>631</v>
      </c>
      <c r="B1" s="686"/>
      <c r="C1" s="686"/>
      <c r="D1" s="686"/>
      <c r="E1" s="686"/>
      <c r="F1" s="686"/>
      <c r="G1" s="686"/>
      <c r="H1" s="686"/>
      <c r="I1" s="686"/>
    </row>
    <row r="2" spans="1:9" s="15" customFormat="1" ht="38.25" customHeight="1" thickBot="1" x14ac:dyDescent="0.3">
      <c r="A2" s="356" t="s">
        <v>178</v>
      </c>
      <c r="B2" s="356" t="s">
        <v>181</v>
      </c>
      <c r="C2" s="356" t="s">
        <v>90</v>
      </c>
      <c r="D2" s="357" t="s">
        <v>516</v>
      </c>
      <c r="E2" s="356" t="s">
        <v>517</v>
      </c>
      <c r="F2" s="358" t="s">
        <v>518</v>
      </c>
      <c r="G2" s="359" t="s">
        <v>519</v>
      </c>
      <c r="H2" s="360" t="s">
        <v>520</v>
      </c>
      <c r="I2" s="361" t="s">
        <v>521</v>
      </c>
    </row>
    <row r="3" spans="1:9" ht="15.75" thickBot="1" x14ac:dyDescent="0.3">
      <c r="A3" s="362"/>
      <c r="B3" s="363"/>
      <c r="C3" s="364"/>
      <c r="D3" s="365"/>
      <c r="E3" s="366"/>
      <c r="F3" s="366"/>
      <c r="G3" s="366"/>
      <c r="H3" s="367"/>
      <c r="I3" s="368"/>
    </row>
    <row r="4" spans="1:9" x14ac:dyDescent="0.25">
      <c r="A4" s="369"/>
      <c r="B4" s="369" t="str">
        <f>_xlfn.XLOOKUP($A4,'Scoring Calculator'!$A$5:$A$11,'Scoring Calculator'!$F$5:$F$11,"TBD",0)</f>
        <v>TBD</v>
      </c>
      <c r="C4" s="369" t="str">
        <f>_xlfn.XLOOKUP($A4,'Scoring Calculator'!$A$5:$A$11,'Scoring Calculator'!$C$5:$C$11,"TBD",0)</f>
        <v>TBD</v>
      </c>
      <c r="D4" s="369" t="str">
        <f>_xlfn.XLOOKUP($A4,'Scoring Calculator'!$A$5:$A$11,'Scoring Calculator'!$E$5:$E$11,"TBD",0)</f>
        <v>TBD</v>
      </c>
      <c r="E4" s="370" t="str">
        <f>_xlfn.XLOOKUP($A4,'Scoring Calculator'!$A$5:$A$11,'Scoring Calculator'!H$5:H$11,"TBD",0)</f>
        <v>TBD</v>
      </c>
      <c r="F4" s="370" t="str">
        <f>_xlfn.XLOOKUP($A4,'Scoring Calculator'!$A$5:$A$11,'Scoring Calculator'!I$5:I$11,"TBD",0)</f>
        <v>TBD</v>
      </c>
      <c r="G4" s="407" t="str">
        <f>_xlfn.XLOOKUP($A4,'Scoring Calculator'!$A$5:$A$11,'Scoring Calculator'!J$5:J$11,"TBD",0)</f>
        <v>TBD</v>
      </c>
      <c r="H4" s="410" t="e">
        <f>((F4/E4)*100)+G4</f>
        <v>#VALUE!</v>
      </c>
      <c r="I4" s="408"/>
    </row>
    <row r="5" spans="1:9" x14ac:dyDescent="0.25">
      <c r="A5" s="369"/>
      <c r="B5" s="369" t="str">
        <f>_xlfn.XLOOKUP($A5,'Scoring Calculator'!$A$5:$A$11,'Scoring Calculator'!$F$5:$F$11,"TBD",0)</f>
        <v>TBD</v>
      </c>
      <c r="C5" s="344" t="str">
        <f>_xlfn.XLOOKUP($A5,'Scoring Calculator'!$A$5:$A$11,'Scoring Calculator'!$C$5:$C$11,"TBD",0)</f>
        <v>TBD</v>
      </c>
      <c r="D5" s="371" t="str">
        <f>_xlfn.XLOOKUP($A5,'Scoring Calculator'!$A$5:$A$11,'Scoring Calculator'!$E$5:$E$11,"TBD",0)</f>
        <v>TBD</v>
      </c>
      <c r="E5" s="370" t="str">
        <f>_xlfn.XLOOKUP($A5,'Scoring Calculator'!$A$5:$A$11,'Scoring Calculator'!H$5:H$11,"TBD",0)</f>
        <v>TBD</v>
      </c>
      <c r="F5" s="370" t="str">
        <f>_xlfn.XLOOKUP($A5,'Scoring Calculator'!$A$5:$A$11,'Scoring Calculator'!I$5:I$11,"TBD",0)</f>
        <v>TBD</v>
      </c>
      <c r="G5" s="407" t="str">
        <f>_xlfn.XLOOKUP($A5,'Scoring Calculator'!$A$5:$A$11,'Scoring Calculator'!J$5:J$11,"TBD",0)</f>
        <v>TBD</v>
      </c>
      <c r="H5" s="412" t="e">
        <f t="shared" ref="H5:H8" si="0">((F5/E5)*100)+G5</f>
        <v>#VALUE!</v>
      </c>
      <c r="I5" s="409"/>
    </row>
    <row r="6" spans="1:9" x14ac:dyDescent="0.25">
      <c r="A6" s="369"/>
      <c r="B6" s="369" t="str">
        <f>_xlfn.XLOOKUP($A6,'Scoring Calculator'!$A$5:$A$11,'Scoring Calculator'!$F$5:$F$11,"TBD",0)</f>
        <v>TBD</v>
      </c>
      <c r="C6" s="344" t="str">
        <f>_xlfn.XLOOKUP($A6,'Scoring Calculator'!$A$5:$A$11,'Scoring Calculator'!$C$5:$C$11,"TBD",0)</f>
        <v>TBD</v>
      </c>
      <c r="D6" s="371" t="str">
        <f>_xlfn.XLOOKUP($A6,'Scoring Calculator'!$A$5:$A$11,'Scoring Calculator'!$E$5:$E$11,"TBD",0)</f>
        <v>TBD</v>
      </c>
      <c r="E6" s="370" t="str">
        <f>_xlfn.XLOOKUP($A6,'Scoring Calculator'!$A$5:$A$11,'Scoring Calculator'!H$5:H$11,"TBD",0)</f>
        <v>TBD</v>
      </c>
      <c r="F6" s="370" t="str">
        <f>_xlfn.XLOOKUP($A6,'Scoring Calculator'!$A$5:$A$11,'Scoring Calculator'!I$5:I$11,"TBD",0)</f>
        <v>TBD</v>
      </c>
      <c r="G6" s="407" t="str">
        <f>_xlfn.XLOOKUP($A6,'Scoring Calculator'!$A$5:$A$11,'Scoring Calculator'!J$5:J$11,"TBD",0)</f>
        <v>TBD</v>
      </c>
      <c r="H6" s="411" t="e">
        <f t="shared" si="0"/>
        <v>#VALUE!</v>
      </c>
      <c r="I6" s="409"/>
    </row>
    <row r="7" spans="1:9" x14ac:dyDescent="0.25">
      <c r="A7" s="369"/>
      <c r="B7" s="369" t="str">
        <f>_xlfn.XLOOKUP($A7,'Scoring Calculator'!$A$5:$A$11,'Scoring Calculator'!$F$5:$F$11,"TBD",0)</f>
        <v>TBD</v>
      </c>
      <c r="C7" s="344" t="str">
        <f>_xlfn.XLOOKUP($A7,'Scoring Calculator'!$A$5:$A$11,'Scoring Calculator'!$C$5:$C$11,"TBD",0)</f>
        <v>TBD</v>
      </c>
      <c r="D7" s="371" t="str">
        <f>_xlfn.XLOOKUP($A7,'Scoring Calculator'!$A$5:$A$11,'Scoring Calculator'!$E$5:$E$11,"TBD",0)</f>
        <v>TBD</v>
      </c>
      <c r="E7" s="370" t="str">
        <f>_xlfn.XLOOKUP($A7,'Scoring Calculator'!$A$5:$A$11,'Scoring Calculator'!H$5:H$11,"TBD",0)</f>
        <v>TBD</v>
      </c>
      <c r="F7" s="370" t="str">
        <f>_xlfn.XLOOKUP($A7,'Scoring Calculator'!$A$5:$A$11,'Scoring Calculator'!I$5:I$11,"TBD",0)</f>
        <v>TBD</v>
      </c>
      <c r="G7" s="407" t="str">
        <f>_xlfn.XLOOKUP($A7,'Scoring Calculator'!$A$5:$A$11,'Scoring Calculator'!J$5:J$11,"TBD",0)</f>
        <v>TBD</v>
      </c>
      <c r="H7" s="411" t="e">
        <f t="shared" si="0"/>
        <v>#VALUE!</v>
      </c>
      <c r="I7" s="409"/>
    </row>
    <row r="8" spans="1:9" x14ac:dyDescent="0.25">
      <c r="A8" s="369"/>
      <c r="B8" s="369" t="str">
        <f>_xlfn.XLOOKUP($A8,'Scoring Calculator'!$A$5:$A$11,'Scoring Calculator'!$F$5:$F$11,"TBD",0)</f>
        <v>TBD</v>
      </c>
      <c r="C8" s="344" t="str">
        <f>_xlfn.XLOOKUP($A8,'Scoring Calculator'!$A$5:$A$11,'Scoring Calculator'!$C$5:$C$11,"TBD",0)</f>
        <v>TBD</v>
      </c>
      <c r="D8" s="371" t="str">
        <f>_xlfn.XLOOKUP($A8,'Scoring Calculator'!$A$5:$A$11,'Scoring Calculator'!$E$5:$E$11,"TBD",0)</f>
        <v>TBD</v>
      </c>
      <c r="E8" s="370" t="str">
        <f>_xlfn.XLOOKUP($A8,'Scoring Calculator'!$A$5:$A$11,'Scoring Calculator'!H$5:H$11,"TBD",0)</f>
        <v>TBD</v>
      </c>
      <c r="F8" s="370" t="str">
        <f>_xlfn.XLOOKUP($A8,'Scoring Calculator'!$A$5:$A$11,'Scoring Calculator'!I$5:I$11,"TBD",0)</f>
        <v>TBD</v>
      </c>
      <c r="G8" s="407" t="str">
        <f>_xlfn.XLOOKUP($A8,'Scoring Calculator'!$A$5:$A$11,'Scoring Calculator'!J$5:J$11,"TBD",0)</f>
        <v>TBD</v>
      </c>
      <c r="H8" s="411" t="e">
        <f t="shared" si="0"/>
        <v>#VALUE!</v>
      </c>
      <c r="I8" s="409"/>
    </row>
    <row r="9" spans="1:9" x14ac:dyDescent="0.25">
      <c r="A9" s="373" t="s">
        <v>522</v>
      </c>
      <c r="B9" s="373" t="s">
        <v>522</v>
      </c>
      <c r="C9" s="344"/>
      <c r="D9" s="371"/>
      <c r="E9" s="374" t="s">
        <v>27</v>
      </c>
      <c r="F9" s="374" t="s">
        <v>27</v>
      </c>
      <c r="G9" s="374" t="s">
        <v>27</v>
      </c>
      <c r="H9" s="374" t="s">
        <v>27</v>
      </c>
      <c r="I9" s="374" t="s">
        <v>27</v>
      </c>
    </row>
    <row r="10" spans="1:9" x14ac:dyDescent="0.25">
      <c r="A10" s="373" t="s">
        <v>523</v>
      </c>
      <c r="B10" s="373" t="s">
        <v>523</v>
      </c>
      <c r="C10" s="344"/>
      <c r="D10" s="371"/>
      <c r="E10" s="372" t="s">
        <v>27</v>
      </c>
      <c r="F10" s="372" t="s">
        <v>27</v>
      </c>
      <c r="G10" s="372" t="s">
        <v>27</v>
      </c>
      <c r="H10" s="372" t="s">
        <v>27</v>
      </c>
      <c r="I10" s="372" t="s">
        <v>27</v>
      </c>
    </row>
  </sheetData>
  <mergeCells count="1">
    <mergeCell ref="A1:I1"/>
  </mergeCells>
  <phoneticPr fontId="37" type="noConversion"/>
  <conditionalFormatting sqref="A4:D4 A5:B10">
    <cfRule type="expression" dxfId="4" priority="1">
      <formula>(#REF!&gt;1)</formula>
    </cfRule>
  </conditionalFormatting>
  <dataValidations count="1">
    <dataValidation type="list" allowBlank="1" showInputMessage="1" showErrorMessage="1" sqref="C3 C5:C7" xr:uid="{A6901374-E774-444F-A740-BF2923E30554}">
      <formula1>"PH, TH, Joint TH &amp; PH-RRH, HMIS, SSO, TRA, PRA, SRA, S+C/SRO"</formula1>
    </dataValidation>
  </dataValidations>
  <pageMargins left="0.25" right="0.25" top="0.75" bottom="0.75" header="0.3" footer="0.3"/>
  <pageSetup scale="68"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1BBD-F094-44A5-87B6-1F25D266CE4C}">
  <sheetPr>
    <tabColor theme="7" tint="0.39997558519241921"/>
  </sheetPr>
  <dimension ref="A2:CG14"/>
  <sheetViews>
    <sheetView workbookViewId="0">
      <selection activeCell="K7" sqref="K7"/>
    </sheetView>
  </sheetViews>
  <sheetFormatPr defaultColWidth="8.7109375" defaultRowHeight="15" x14ac:dyDescent="0.25"/>
  <cols>
    <col min="1" max="1" width="16.28515625" style="10" customWidth="1"/>
    <col min="2" max="2" width="11.42578125" style="10" customWidth="1"/>
    <col min="3" max="3" width="8.7109375" style="10"/>
    <col min="4" max="4" width="13.5703125" style="10" customWidth="1"/>
    <col min="5" max="5" width="14.140625" style="10" customWidth="1"/>
    <col min="6" max="6" width="23.42578125" style="10" customWidth="1"/>
    <col min="7" max="7" width="35.85546875" style="16" customWidth="1"/>
    <col min="8" max="8" width="13.85546875" style="16" customWidth="1"/>
    <col min="9" max="9" width="11.7109375" style="16" customWidth="1"/>
    <col min="10" max="10" width="6.5703125" style="16" customWidth="1"/>
    <col min="11" max="11" width="6.42578125" style="16" customWidth="1"/>
    <col min="12" max="12" width="10.140625" style="10" customWidth="1"/>
    <col min="13" max="15" width="8.7109375" style="10"/>
    <col min="16" max="16" width="9.140625" style="10" customWidth="1"/>
    <col min="17" max="18" width="8.85546875" style="10"/>
    <col min="19" max="20" width="8.7109375" style="10"/>
    <col min="21" max="21" width="8.85546875" style="10"/>
    <col min="22" max="23" width="8.7109375" style="10"/>
    <col min="24" max="24" width="8.85546875" style="10"/>
    <col min="25" max="25" width="12" style="10" customWidth="1"/>
    <col min="26" max="26" width="11.7109375" style="10" customWidth="1"/>
    <col min="27" max="28" width="8.85546875" style="10"/>
    <col min="29" max="29" width="8.7109375" style="10"/>
    <col min="30" max="30" width="8.85546875" style="10"/>
    <col min="31" max="32" width="8.7109375" style="10"/>
    <col min="33" max="33" width="13.28515625" style="10" customWidth="1"/>
    <col min="34" max="34" width="9.42578125" style="10" bestFit="1" customWidth="1"/>
    <col min="35" max="35" width="9.42578125" style="10" customWidth="1"/>
    <col min="36" max="36" width="5" style="10" customWidth="1"/>
    <col min="37" max="40" width="8.7109375" style="10"/>
    <col min="41" max="41" width="8" style="10" customWidth="1"/>
    <col min="42" max="49" width="8.7109375" style="10"/>
    <col min="50" max="50" width="12.5703125" style="10" customWidth="1"/>
    <col min="51" max="55" width="8.7109375" style="10"/>
    <col min="56" max="56" width="11.5703125" style="10" bestFit="1" customWidth="1"/>
    <col min="57" max="57" width="8.7109375" style="10"/>
    <col min="58" max="59" width="14.42578125" style="10" customWidth="1"/>
    <col min="60" max="60" width="12" style="10" customWidth="1"/>
    <col min="61" max="61" width="5" style="10" customWidth="1"/>
    <col min="62" max="16384" width="8.7109375" style="10"/>
  </cols>
  <sheetData>
    <row r="2" spans="1:85" x14ac:dyDescent="0.25">
      <c r="L2" s="687" t="s">
        <v>191</v>
      </c>
      <c r="M2" s="688"/>
      <c r="N2" s="688"/>
      <c r="O2" s="688"/>
      <c r="P2" s="688"/>
      <c r="Q2" s="688"/>
      <c r="R2" s="688"/>
      <c r="S2" s="688"/>
      <c r="T2" s="688"/>
      <c r="U2" s="688"/>
      <c r="V2" s="688"/>
      <c r="W2" s="688"/>
      <c r="X2" s="688"/>
      <c r="Y2" s="688"/>
      <c r="Z2" s="688"/>
      <c r="AA2" s="688"/>
      <c r="AB2" s="688"/>
      <c r="AC2" s="688"/>
      <c r="AD2" s="688"/>
      <c r="AE2" s="688"/>
      <c r="AF2" s="688"/>
      <c r="AG2" s="688"/>
      <c r="AH2" s="688"/>
      <c r="AI2" s="688"/>
      <c r="AJ2" s="121"/>
      <c r="AK2" s="689" t="s">
        <v>518</v>
      </c>
      <c r="AL2" s="690"/>
      <c r="AM2" s="690"/>
      <c r="AN2" s="690"/>
      <c r="AO2" s="690"/>
      <c r="AP2" s="690"/>
      <c r="AQ2" s="690"/>
      <c r="AR2" s="690"/>
      <c r="AS2" s="690"/>
      <c r="AT2" s="690"/>
      <c r="AU2" s="690"/>
      <c r="AV2" s="690"/>
      <c r="AW2" s="690"/>
      <c r="AX2" s="690"/>
      <c r="AY2" s="690"/>
      <c r="AZ2" s="690"/>
      <c r="BA2" s="690"/>
      <c r="BB2" s="690"/>
      <c r="BC2" s="690"/>
      <c r="BD2" s="690"/>
      <c r="BE2" s="690"/>
      <c r="BF2" s="690"/>
      <c r="BG2" s="690"/>
      <c r="BH2" s="690"/>
      <c r="BI2" s="121"/>
      <c r="BJ2" s="689" t="s">
        <v>524</v>
      </c>
      <c r="BK2" s="690"/>
      <c r="BL2" s="690"/>
      <c r="BM2" s="690"/>
      <c r="BN2" s="690"/>
      <c r="BO2" s="690"/>
      <c r="BP2" s="690"/>
      <c r="BQ2" s="690"/>
      <c r="BR2" s="690"/>
      <c r="BS2" s="690"/>
      <c r="BT2" s="690"/>
      <c r="BU2" s="690"/>
      <c r="BV2" s="690"/>
      <c r="BW2" s="690"/>
      <c r="BX2" s="690"/>
      <c r="BY2" s="690"/>
      <c r="BZ2" s="690"/>
      <c r="CA2" s="690"/>
      <c r="CB2" s="690"/>
      <c r="CC2" s="690"/>
      <c r="CD2" s="690"/>
      <c r="CE2" s="690"/>
      <c r="CF2" s="690"/>
      <c r="CG2" s="690"/>
    </row>
    <row r="3" spans="1:85" s="1" customFormat="1" ht="96.95" customHeight="1" x14ac:dyDescent="0.25">
      <c r="A3" s="47"/>
      <c r="B3" s="47"/>
      <c r="C3" s="47"/>
      <c r="D3" s="47"/>
      <c r="E3" s="47"/>
      <c r="F3" s="47"/>
      <c r="G3" s="47"/>
      <c r="H3" s="47"/>
      <c r="I3" s="47"/>
      <c r="J3" s="47"/>
      <c r="K3" s="47"/>
      <c r="L3" s="180" t="s">
        <v>192</v>
      </c>
      <c r="M3" s="180" t="s">
        <v>193</v>
      </c>
      <c r="N3" s="180" t="s">
        <v>194</v>
      </c>
      <c r="O3" s="180" t="s">
        <v>195</v>
      </c>
      <c r="P3" s="180" t="s">
        <v>196</v>
      </c>
      <c r="Q3" s="180" t="s">
        <v>197</v>
      </c>
      <c r="R3" s="180" t="s">
        <v>198</v>
      </c>
      <c r="S3" s="180" t="s">
        <v>199</v>
      </c>
      <c r="T3" s="180" t="s">
        <v>200</v>
      </c>
      <c r="U3" s="180" t="s">
        <v>201</v>
      </c>
      <c r="V3" s="180" t="s">
        <v>202</v>
      </c>
      <c r="W3" s="180" t="s">
        <v>203</v>
      </c>
      <c r="X3" s="180" t="s">
        <v>204</v>
      </c>
      <c r="Y3" s="180" t="s">
        <v>205</v>
      </c>
      <c r="Z3" s="180" t="s">
        <v>206</v>
      </c>
      <c r="AA3" s="180" t="s">
        <v>71</v>
      </c>
      <c r="AB3" s="180" t="s">
        <v>75</v>
      </c>
      <c r="AC3" s="180" t="s">
        <v>207</v>
      </c>
      <c r="AD3" s="180" t="s">
        <v>165</v>
      </c>
      <c r="AE3" s="180" t="s">
        <v>208</v>
      </c>
      <c r="AF3" s="180" t="s">
        <v>209</v>
      </c>
      <c r="AG3" s="180" t="s">
        <v>210</v>
      </c>
      <c r="AH3" s="180" t="s">
        <v>211</v>
      </c>
      <c r="AI3" s="180" t="s">
        <v>212</v>
      </c>
      <c r="AJ3" s="181"/>
      <c r="AK3" s="182" t="s">
        <v>192</v>
      </c>
      <c r="AL3" s="182" t="s">
        <v>193</v>
      </c>
      <c r="AM3" s="182" t="s">
        <v>194</v>
      </c>
      <c r="AN3" s="182" t="s">
        <v>195</v>
      </c>
      <c r="AO3" s="182" t="s">
        <v>196</v>
      </c>
      <c r="AP3" s="182" t="s">
        <v>197</v>
      </c>
      <c r="AQ3" s="182" t="s">
        <v>198</v>
      </c>
      <c r="AR3" s="182" t="s">
        <v>199</v>
      </c>
      <c r="AS3" s="182" t="s">
        <v>200</v>
      </c>
      <c r="AT3" s="182" t="s">
        <v>201</v>
      </c>
      <c r="AU3" s="182" t="s">
        <v>202</v>
      </c>
      <c r="AV3" s="182" t="s">
        <v>203</v>
      </c>
      <c r="AW3" s="182" t="s">
        <v>204</v>
      </c>
      <c r="AX3" s="182" t="s">
        <v>205</v>
      </c>
      <c r="AY3" s="182" t="s">
        <v>206</v>
      </c>
      <c r="AZ3" s="182" t="s">
        <v>71</v>
      </c>
      <c r="BA3" s="182" t="s">
        <v>75</v>
      </c>
      <c r="BB3" s="182" t="s">
        <v>207</v>
      </c>
      <c r="BC3" s="182" t="s">
        <v>165</v>
      </c>
      <c r="BD3" s="182" t="s">
        <v>208</v>
      </c>
      <c r="BE3" s="182" t="s">
        <v>209</v>
      </c>
      <c r="BF3" s="182" t="s">
        <v>210</v>
      </c>
      <c r="BG3" s="182" t="s">
        <v>211</v>
      </c>
      <c r="BH3" s="182" t="s">
        <v>212</v>
      </c>
      <c r="BI3" s="181"/>
      <c r="BJ3" s="402" t="s">
        <v>192</v>
      </c>
      <c r="BK3" s="402" t="s">
        <v>193</v>
      </c>
      <c r="BL3" s="402" t="s">
        <v>194</v>
      </c>
      <c r="BM3" s="402" t="s">
        <v>195</v>
      </c>
      <c r="BN3" s="402" t="s">
        <v>196</v>
      </c>
      <c r="BO3" s="402" t="s">
        <v>197</v>
      </c>
      <c r="BP3" s="402" t="s">
        <v>198</v>
      </c>
      <c r="BQ3" s="402" t="s">
        <v>199</v>
      </c>
      <c r="BR3" s="402" t="s">
        <v>200</v>
      </c>
      <c r="BS3" s="402" t="s">
        <v>201</v>
      </c>
      <c r="BT3" s="402" t="s">
        <v>202</v>
      </c>
      <c r="BU3" s="402" t="s">
        <v>203</v>
      </c>
      <c r="BV3" s="402" t="s">
        <v>204</v>
      </c>
      <c r="BW3" s="402" t="s">
        <v>205</v>
      </c>
      <c r="BX3" s="402" t="s">
        <v>206</v>
      </c>
      <c r="BY3" s="402" t="s">
        <v>71</v>
      </c>
      <c r="BZ3" s="402" t="s">
        <v>75</v>
      </c>
      <c r="CA3" s="402" t="s">
        <v>207</v>
      </c>
      <c r="CB3" s="402" t="s">
        <v>165</v>
      </c>
      <c r="CC3" s="402" t="s">
        <v>208</v>
      </c>
      <c r="CD3" s="402" t="s">
        <v>209</v>
      </c>
      <c r="CE3" s="402" t="s">
        <v>210</v>
      </c>
      <c r="CF3" s="402" t="s">
        <v>211</v>
      </c>
      <c r="CG3" s="402" t="s">
        <v>212</v>
      </c>
    </row>
    <row r="4" spans="1:85" s="46" customFormat="1" ht="25.5" x14ac:dyDescent="0.25">
      <c r="A4" s="183" t="s">
        <v>178</v>
      </c>
      <c r="B4" s="184" t="s">
        <v>179</v>
      </c>
      <c r="C4" s="184" t="s">
        <v>90</v>
      </c>
      <c r="D4" s="184" t="s">
        <v>213</v>
      </c>
      <c r="E4" s="184" t="s">
        <v>180</v>
      </c>
      <c r="F4" s="184" t="s">
        <v>181</v>
      </c>
      <c r="G4" s="185" t="s">
        <v>214</v>
      </c>
      <c r="H4" s="404" t="s">
        <v>524</v>
      </c>
      <c r="I4" s="404" t="s">
        <v>518</v>
      </c>
      <c r="J4" s="404" t="s">
        <v>511</v>
      </c>
      <c r="K4" s="404" t="s">
        <v>520</v>
      </c>
      <c r="L4" s="186">
        <v>1</v>
      </c>
      <c r="M4" s="186">
        <v>2</v>
      </c>
      <c r="N4" s="186">
        <v>3</v>
      </c>
      <c r="O4" s="186">
        <v>4</v>
      </c>
      <c r="P4" s="186">
        <v>5</v>
      </c>
      <c r="Q4" s="186">
        <v>6</v>
      </c>
      <c r="R4" s="186">
        <v>7</v>
      </c>
      <c r="S4" s="186">
        <v>8</v>
      </c>
      <c r="T4" s="186">
        <v>9</v>
      </c>
      <c r="U4" s="186">
        <v>10</v>
      </c>
      <c r="V4" s="186">
        <v>11</v>
      </c>
      <c r="W4" s="186">
        <v>12</v>
      </c>
      <c r="X4" s="186">
        <v>13</v>
      </c>
      <c r="Y4" s="186">
        <v>14</v>
      </c>
      <c r="Z4" s="186">
        <v>15</v>
      </c>
      <c r="AA4" s="186">
        <v>16</v>
      </c>
      <c r="AB4" s="186">
        <v>17</v>
      </c>
      <c r="AC4" s="186">
        <v>18</v>
      </c>
      <c r="AD4" s="186">
        <v>19</v>
      </c>
      <c r="AE4" s="186">
        <v>20</v>
      </c>
      <c r="AF4" s="186">
        <v>21</v>
      </c>
      <c r="AG4" s="186">
        <v>22</v>
      </c>
      <c r="AH4" s="186">
        <v>23</v>
      </c>
      <c r="AI4" s="186">
        <v>24</v>
      </c>
      <c r="AJ4" s="187"/>
      <c r="AK4" s="188">
        <v>1</v>
      </c>
      <c r="AL4" s="188">
        <v>2</v>
      </c>
      <c r="AM4" s="188">
        <v>3</v>
      </c>
      <c r="AN4" s="188">
        <v>4</v>
      </c>
      <c r="AO4" s="188">
        <v>5</v>
      </c>
      <c r="AP4" s="188">
        <v>6</v>
      </c>
      <c r="AQ4" s="188">
        <v>7</v>
      </c>
      <c r="AR4" s="188">
        <v>8</v>
      </c>
      <c r="AS4" s="188">
        <v>9</v>
      </c>
      <c r="AT4" s="188">
        <v>10</v>
      </c>
      <c r="AU4" s="188">
        <v>11</v>
      </c>
      <c r="AV4" s="188">
        <v>12</v>
      </c>
      <c r="AW4" s="188">
        <v>13</v>
      </c>
      <c r="AX4" s="188">
        <v>14</v>
      </c>
      <c r="AY4" s="188">
        <v>15</v>
      </c>
      <c r="AZ4" s="188">
        <v>16</v>
      </c>
      <c r="BA4" s="188">
        <v>17</v>
      </c>
      <c r="BB4" s="188">
        <v>18</v>
      </c>
      <c r="BC4" s="188">
        <v>19</v>
      </c>
      <c r="BD4" s="188">
        <v>20</v>
      </c>
      <c r="BE4" s="188">
        <v>21</v>
      </c>
      <c r="BF4" s="188">
        <v>22</v>
      </c>
      <c r="BG4" s="188">
        <v>23</v>
      </c>
      <c r="BH4" s="188">
        <v>24</v>
      </c>
      <c r="BI4" s="187"/>
      <c r="BJ4" s="403">
        <v>1</v>
      </c>
      <c r="BK4" s="403">
        <v>2</v>
      </c>
      <c r="BL4" s="403">
        <v>3</v>
      </c>
      <c r="BM4" s="403">
        <v>4</v>
      </c>
      <c r="BN4" s="403">
        <v>5</v>
      </c>
      <c r="BO4" s="403">
        <v>6</v>
      </c>
      <c r="BP4" s="403">
        <v>7</v>
      </c>
      <c r="BQ4" s="403">
        <v>8</v>
      </c>
      <c r="BR4" s="403">
        <v>9</v>
      </c>
      <c r="BS4" s="403">
        <v>10</v>
      </c>
      <c r="BT4" s="403">
        <v>11</v>
      </c>
      <c r="BU4" s="403">
        <v>12</v>
      </c>
      <c r="BV4" s="403">
        <v>13</v>
      </c>
      <c r="BW4" s="403">
        <v>14</v>
      </c>
      <c r="BX4" s="403">
        <v>15</v>
      </c>
      <c r="BY4" s="403">
        <v>16</v>
      </c>
      <c r="BZ4" s="403">
        <v>17</v>
      </c>
      <c r="CA4" s="403">
        <v>18</v>
      </c>
      <c r="CB4" s="403">
        <v>19</v>
      </c>
      <c r="CC4" s="403">
        <v>20</v>
      </c>
      <c r="CD4" s="403">
        <v>21</v>
      </c>
      <c r="CE4" s="403">
        <v>22</v>
      </c>
      <c r="CF4" s="403">
        <v>23</v>
      </c>
      <c r="CG4" s="403">
        <v>24</v>
      </c>
    </row>
    <row r="5" spans="1:85" s="46" customFormat="1" ht="38.25" x14ac:dyDescent="0.25">
      <c r="A5" s="189" t="s">
        <v>215</v>
      </c>
      <c r="B5" s="189" t="s">
        <v>183</v>
      </c>
      <c r="C5" s="190" t="s">
        <v>10</v>
      </c>
      <c r="D5" s="190" t="str">
        <f>_xlfn.XLOOKUP(A5,'Raw Project Data'!$A$4:$A$10,'Raw Project Data'!$G$4:$G$10,"Not Found",0)</f>
        <v>Tenant-Based</v>
      </c>
      <c r="E5" s="189" t="s">
        <v>216</v>
      </c>
      <c r="F5" s="189" t="s">
        <v>217</v>
      </c>
      <c r="G5" s="191" t="s">
        <v>218</v>
      </c>
      <c r="H5" s="405">
        <f t="shared" ref="H5:H11" si="0">SUM(BJ5:CB5)</f>
        <v>100</v>
      </c>
      <c r="I5" s="405">
        <f>SUM(AK5:BC5)</f>
        <v>66</v>
      </c>
      <c r="J5" s="405">
        <f>SUM(BD5:BH5)</f>
        <v>2.0952380952380953</v>
      </c>
      <c r="K5" s="405">
        <f>((I5/H5)*100)+J5</f>
        <v>68.095238095238102</v>
      </c>
      <c r="L5" s="192">
        <f>_xlfn.XLOOKUP(A5,'Raw Project Data'!$A$4:$A$10,'Raw Project Data'!$N$4:$N$10,"NA",0)/_xlfn.XLOOKUP(A5,'Raw Project Data'!$A$4:$A$10,'Raw Project Data'!$O$4:$O$10,"NA",0)</f>
        <v>1</v>
      </c>
      <c r="M5" s="192">
        <f>AVERAGE(_xlfn.XLOOKUP(A5,'Raw Project Data'!$A$4:$A$10,'Raw Project Data'!$AF$4:$AF$10,"NA",0),_xlfn.XLOOKUP(A5,'Raw Project Data'!$A$4:$A$10,'Raw Project Data'!$AG$4:$AG$10,"NA",0),_xlfn.XLOOKUP(A5,'Raw Project Data'!$A$4:$A$10,'Raw Project Data'!$AH$4:$AH$10,"NA",0),_xlfn.XLOOKUP(A5,'Raw Project Data'!$A$4:$A$10,'Raw Project Data'!$AI$4:$AI$10,"NA",0))/_xlfn.XLOOKUP(A5,'Raw Project Data'!$A$4:$A$10,'Raw Project Data'!$H$4:$H$10,"NA",0)</f>
        <v>0.96875</v>
      </c>
      <c r="N5" s="192">
        <f>_xlfn.XLOOKUP(A5,'Raw Project Data'!$A$4:$A$10,'Raw Project Data'!$AZ$4:$AZ$10,"NA",0)/(_xlfn.XLOOKUP(A5,'Raw Project Data'!$A$4:$A$10,'Raw Project Data'!$BB$4:$BB$10,"NA",0)-_xlfn.XLOOKUP(A5,'Raw Project Data'!$A$4:$A$10,'Raw Project Data'!$BA$4:$BA$10,"NA",0))</f>
        <v>0.76190476190476186</v>
      </c>
      <c r="O5" s="192">
        <f>IF(_xlfn.XLOOKUP(A5,'Raw Project Data'!$A$4:$A$10,'Raw Project Data'!$C$4:$C$10,"NA",0)="RRH","N/A",(_xlfn.XLOOKUP(A5,'Raw Project Data'!$A$4:$A$10,'Raw Project Data'!$CK$4:$CK$10,"NA",0)/(_xlfn.XLOOKUP(A5,'Raw Project Data'!$A$4:$A$10,'Raw Project Data'!$CM$4:$CM$10,"NA",0)-_xlfn.XLOOKUP(A5,'Raw Project Data'!$A$4:$A$10,'Raw Project Data'!$CL$4:$CL$10,"NA",0))))</f>
        <v>0.7</v>
      </c>
      <c r="P5" s="193">
        <f>IF((_xlfn.XLOOKUP(A5,'Raw Project Data'!$A$4:$A$10,'Raw Project Data'!$W$4:$W$10,"NA",0)+_xlfn.XLOOKUP(A5,'Raw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Data'!$AB$4:$AB$10,"NA",0))=0,"No Entries",_xlfn.XLOOKUP(A5,'Raw Project Data'!$A$4:$A$10,'Raw Project Data'!$CB$4:$CB$10,"NA",0))</f>
        <v>5.14</v>
      </c>
      <c r="Q5" s="192">
        <f>(_xlfn.XLOOKUP(A5,'Raw Project Data'!$A$4:$A$10,'Raw Project Data'!$BL$4:$BL$10,"NA",0)+_xlfn.XLOOKUP(A5,'Raw Project Data'!$A$4:$A$10,'Raw Project Data'!$BN$4:$BN$10,"NA",0))/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0.33333333333333331</v>
      </c>
      <c r="R5" s="192">
        <f>(_xlfn.XLOOKUP(A5,'Raw Project Data'!$A$4:$A$10,'Raw Project Data'!$BM$4:$BM$10,"NA",0)+_xlfn.XLOOKUP(A5,'Raw Project Data'!$A$4:$A$10,'Raw Project Data'!$BO$4:$BO$10,"NA",0))/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0.33333333333333331</v>
      </c>
      <c r="S5" s="192">
        <f>(_xlfn.XLOOKUP(A5,'Raw Project Data'!$A$4:$A$10,'Raw Project Data'!$BH$4:$BH$10,"NA",0)+_xlfn.XLOOKUP(A5,'Raw Project Data'!$A$4:$A$10,'Raw Project Data'!$BI$4:$BI$10,"NA",0)+_xlfn.XLOOKUP(A5,'Raw Project Data'!$A$4:$A$10,'Raw Project Data'!$BJ$4:$BJ$10,"NA",0)+_xlfn.XLOOKUP(A5,'Raw Project Data'!$A$4:$A$10,'Raw Project Data'!$BK$4:$BK$10,"NA",0))/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0.77777777777777779</v>
      </c>
      <c r="T5" s="192">
        <f>(_xlfn.XLOOKUP(A5,'Raw Project Data'!$A$4:$A$10,'Raw Project Data'!$BP$4:$BP$10,"NA",0)+_xlfn.XLOOKUP(A5,'Raw Project Data'!$A$4:$A$10,'Raw Project Data'!$BQ$4:$BQ$10,"NA",0))/
(_xlfn.XLOOKUP(A5,'Raw Project Data'!$A$4:$A$10,'Raw Project Data'!$BT$4:$BT$10,"NA",0)+_xlfn.XLOOKUP(A5,'Raw Project Data'!$A$4:$A$10,'Raw Project Data'!$BU$4:$BU$10,"NA",0)-(_xlfn.XLOOKUP(A5,'Raw Project Data'!$A$4:$A$10,'Raw Project Data'!$BE$4:$BE$10,"NA",0)-_xlfn.XLOOKUP(A5,'Raw Project Data'!$A$4:$A$10,'Raw Project Data'!$BR$4:$BR$10,"NA",0)-_xlfn.XLOOKUP(A5,'Raw Project Data'!$A$4:$A$10,'Raw Project Data'!$BS$4:$BS$10,"NA",0)))</f>
        <v>0.83333333333333337</v>
      </c>
      <c r="U5" s="194" t="str">
        <f>IF(_xlfn.XLOOKUP(A5,'Raw Project Data'!$A$4:$A$10,'Raw Project Data'!$C$4:$C$10,"NA",0)="PSH","N/A",
(_xlfn.XLOOKUP(A5,'Raw Project Data'!$A$4:$A$10,'Raw Project Data'!$BV$4:$BV$10,"NA",0)+_xlfn.XLOOKUP(A5,'Raw Project Data'!$A$4:$A$10,'Raw Project Data'!$BW$4:$BW$10,"NA",0)+_xlfn.XLOOKUP(A5,'Raw Project Data'!$A$4:$A$10,'Raw Project Data'!$BX$4:$BX$10,"NA",0)+_xlfn.XLOOKUP(A5,'Raw Project Data'!$A$4:$A$10,'Raw Project Data'!$BY$4:$BY$10,"NA",0))/
(_xlfn.XLOOKUP(A5,'Raw Project Data'!$A$4:$A$10,'Raw Project Data'!$BZ$4:$BZ$10,"NA",0)))</f>
        <v>N/A</v>
      </c>
      <c r="V5" s="192">
        <f>IF(_xlfn.XLOOKUP(A5,'Raw Project Data'!$A$4:$A$10,'Raw Project Data'!$C$4:$C$10,"NA",0)="RRH","N/A",
(_xlfn.XLOOKUP(A5,'Raw Project Data'!$A$4:$A$10,'Raw Project Data'!$CA$4:$CA$10,"NA",0)+_xlfn.XLOOKUP(A5,'Raw Project Data'!$A$4:$A$10,'Raw Project Data'!$CH$4:$CH$10,"NA",0))/
((_xlfn.XLOOKUP(A5,'Raw Project Data'!$A$4:$A$10,'Raw Project Data'!$CG$4:$CG$10,"NA",0)+_xlfn.XLOOKUP(A5,'Raw Project Data'!$A$4:$A$10,'Raw Project Data'!$CA$4:$CA$10,"NA",0))-(_xlfn.XLOOKUP(A5,'Raw Project Data'!$A$4:$A$10,'Raw Project Data'!$CI$4:$CI$10,"NA",0))))</f>
        <v>0.91666666666666663</v>
      </c>
      <c r="W5" s="195" t="str">
        <f>IF(_xlfn.XLOOKUP(A5,'Raw Project Data'!$A$4:$A$10,'Raw Project Data'!$C$4:$C$10,"NA",0)="PSH","N/A",
IF(_xlfn.XLOOKUP(A5,'Raw Project Data'!$A$4:$A$10,'Raw Project Data'!$CG$4:$CG$10,"NA",0)=0,"No Exits",
_xlfn.XLOOKUP(A5,'Raw Project Data'!$A$4:$A$10,'Raw Project Data'!$CJ$4:$CJ$10,"NA",0)))</f>
        <v>N/A</v>
      </c>
      <c r="X5" s="192">
        <f>IF(_xlfn.XLOOKUP(A5,'Raw Project Data'!$A$4:$A$10,'Raw Project Data'!$CG$4:$CG$10,"NA",0)=0,"No Exits",
((_xlfn.XLOOKUP(A5,'Raw Project Data'!$A$4:$A$10,'Raw Project Data'!$CC$4:$CC$10,"NA",0)+_xlfn.XLOOKUP(A5,'Raw Project Data'!$A$4:$A$10,'Raw Project Data'!$CD$4:$CD$10,"NA",0)+_xlfn.XLOOKUP(A5,'Raw Project Data'!$A$4:$A$10,'Raw Project Data'!$CF$4:$CF$10,"NA",0))/
(_xlfn.XLOOKUP(A5,'Raw Project Data'!$A$4:$A$10,'Raw Project Data'!$CG$4:$CG$10,"NA",0))))</f>
        <v>0.125</v>
      </c>
      <c r="Y5" s="192">
        <f>IF(_xlfn.XLOOKUP(A5,'Raw Project Data'!$A$4:$A$10,'Raw Project Data'!$Q$4:$Q$10,"NA",0)=0,"No PH Exits",
(_xlfn.XLOOKUP(A5,'Raw Project Data'!$A$4:$A$10,'Raw Project Data'!$P$4:$P$10,"NA",0)/_xlfn.XLOOKUP(A5,'Raw Project Data'!$A$4:$A$10,'Raw Project Data'!$Q$4:$Q$10,"NA",0)))</f>
        <v>0.25</v>
      </c>
      <c r="Z5" s="192">
        <f>IF((_xlfn.XLOOKUP(A5,'Raw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Data'!$AB$4:$AB$10,"NA",0))=0,"No Entries",
(_xlfn.XLOOKUP(A5,'Raw Project Data'!$A$4:$A$10,'Raw Project Data'!$W$4:$W$10,"NA",0)+_xlfn.XLOOKUP(A5,'Raw Project Data'!$A$4:$A$10,'Raw Project Data'!$X$4:$X$10,"NA",0)+_xlfn.XLOOKUP(A5,'Raw Project Data'!$A$4:$A$10,'Raw Project Data'!$Y$4:$Y$10,"NA",0))/(_xlfn.XLOOKUP(A5,'Raw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f>
        <v>0.14285714285714285</v>
      </c>
      <c r="AA5" s="192">
        <f>_xlfn.XLOOKUP(A5,'Raw Project Data'!$A$4:$A$10,'Raw Project Data'!$J$4:$J$10,"NA",0)</f>
        <v>0.25</v>
      </c>
      <c r="AB5" s="196" t="str">
        <f>_xlfn.XLOOKUP(A5,'Raw Project Data'!$A$4:$A$10,'Raw Project Data'!$R$4:$R$10,"NA",0)</f>
        <v>Yes</v>
      </c>
      <c r="AC5" s="196" t="str">
        <f>_xlfn.XLOOKUP(A5,'Raw Project Data'!$A$4:$A$10,'Raw Project Data'!$S$4:$S$10,"NA",0)</f>
        <v>Yes</v>
      </c>
      <c r="AD5" s="196" t="str">
        <f>_xlfn.XLOOKUP(A5,'Raw Project Data'!$A$4:$A$10,'Raw Project Data'!$T$4:$T$10,"NA",0)</f>
        <v>Yes</v>
      </c>
      <c r="AE5" s="192">
        <f>(_xlfn.XLOOKUP(A5,'Raw Project Data'!$A$4:$A$10,'Raw Project Data'!$AN$4:$AN$10,"NA",0)+_xlfn.XLOOKUP(A5,'Raw Project Data'!$A$4:$A$10,'Raw Project Data'!$AO$4:$AO$10,"NA",0)+_xlfn.XLOOKUP(A5,'Raw Project Data'!$A$4:$A$10,'Raw Project Data'!$AP$4:$AP$10,"NA",0)+_xlfn.XLOOKUP(A5,'Raw Project Data'!$A$4:$A$10,'Raw Project Data'!$AQ$4:$AQ$10,"NA",0))/(_xlfn.XLOOKUP(A5,'Raw Project Data'!$A$4:$A$10,'Raw Project Data'!$AR$4:$AR$10,"NA",0)+_xlfn.XLOOKUP(A5,'Raw Project Data'!$A$4:$A$10,'Raw Project Data'!$AS$4:$AS$10,"NA",0)-_xlfn.XLOOKUP(A5,'Raw Project Data'!$A$4:$A$10,'Raw Project Data'!$AT$4:$AT$10,"NA",0)-_xlfn.XLOOKUP(A5,'Raw Project Data'!$A$4:$A$10,'Raw Project Data'!$AU$4:$AU$10,"NA",0))</f>
        <v>0.66666666666666663</v>
      </c>
      <c r="AF5" s="194">
        <f>_xlfn.XLOOKUP(A5,'Raw Project Data'!$A$4:$A$10,'Raw Project Data'!$AV$4:$AV$10,"NA",0)/(_xlfn.XLOOKUP(A5,'Raw Project Data'!$A$4:$A$10,'Raw Project Data'!$AX$4:$AX$10,"NA",0)-_xlfn.XLOOKUP(A5,'Raw Project Data'!$A$4:$A$10,'Raw Project Data'!$AW$4:$AW$10,"NA",0))</f>
        <v>4.7619047619047616E-2</v>
      </c>
      <c r="AG5" s="194">
        <f>_xlfn.XLOOKUP(A5,'Raw Project Data'!$A$4:$A$10,'Raw Project Data'!$AY$4:$AY$10,"NA",0)/(_xlfn.XLOOKUP(A5,'Raw Project Data'!$A$4:$A$10,'Raw Project Data'!$BB$4:$BB$10,"NA",0)-_xlfn.XLOOKUP(A5,'Raw Project Data'!$A$4:$A$10,'Raw Project Data'!$BA$4:$BA$10,"NA",0))</f>
        <v>4.7619047619047616E-2</v>
      </c>
      <c r="AH5" s="194">
        <f>_xlfn.XLOOKUP(A5,'Raw Project Data'!$A$4:$A$10,'Raw Project Data'!$AJ$4:$AJ$10,"NA",0)/(_xlfn.XLOOKUP(A5,'Raw Project Data'!$A$4:$A$10,'Raw Project Data'!$V$4:$V$10,"NA",0)-_xlfn.XLOOKUP(A5,'Raw Project Data'!$A$4:$A$10,'Raw Project Data'!$AM$4:$AM$10,"NA",0))</f>
        <v>4.7619047619047616E-2</v>
      </c>
      <c r="AI5" s="194">
        <f>(_xlfn.XLOOKUP(A5,'Raw Project Data'!$A$4:$A$10,'Raw Project Data'!$AK$4:$AK$10,"NA",0)+_xlfn.XLOOKUP(A5,'Raw Project Data'!$A$4:$A$10,'Raw Project Data'!$AL$4:$AL$10,"NA",0))/(_xlfn.XLOOKUP(A5,'Raw Project Data'!$A$4:$A$10,'Raw Project Data'!$V$4:$V$10,"NA",0)-_xlfn.XLOOKUP(A5,'Raw Project Data'!$A$4:$A$10,'Raw Project Data'!$AM$4:$AM$10,"NA",0))</f>
        <v>0.23809523809523808</v>
      </c>
      <c r="AJ5" s="197"/>
      <c r="AK5" s="198">
        <f t="shared" ref="AK5:AK11" si="1">IF(L5="N/A","N/A",IF(L5&gt;=0.95,10,IF(L5&gt;=0.85,5,0)))</f>
        <v>10</v>
      </c>
      <c r="AL5" s="198">
        <f t="shared" ref="AL5:AL11" si="2">IF(M5="N/A","N/A",IF(M5&gt;=0.95,10,IF(M5&gt;=0.9,5,0)))</f>
        <v>10</v>
      </c>
      <c r="AM5" s="198">
        <f t="shared" ref="AM5:AM11" si="3">IF(N5="N/A","N/A",IF(N5=1,10,0))</f>
        <v>0</v>
      </c>
      <c r="AN5" s="198">
        <f>IF(O5="N/A","N/A",IF(O5&gt;=0.95,5,IF(O5&gt;=0.85,3,IF(O5&gt;=0.75,1,0))))</f>
        <v>0</v>
      </c>
      <c r="AO5" s="198">
        <f>IF(P5="No Entries","N/A",IF(D5="Tenant-Based",(IF(P5&lt;31,5,IF(P5&lt;61,3,IF(P5&lt;181,1,0)))),IF(D5="Site-Based",IF(P5&lt;15,5,IF(P5&lt;22,3,IF(P5&lt;61,1,0))))))</f>
        <v>5</v>
      </c>
      <c r="AP5" s="198">
        <f t="shared" ref="AP5:AP11" si="4">IF(Q5="N/A","N/A",IF(C5="PSH",(IF(Q5&gt;=0.15,10,IF(Q5&gt;=0.1,6,IF(Q5&gt;=0.05,3,0)))),(IF(Q5&gt;=0.25,10,IF(Q5&gt;=0.1,6,IF(Q5&gt;=0.05,3,0))))))</f>
        <v>10</v>
      </c>
      <c r="AQ5" s="198">
        <f t="shared" ref="AQ5:AQ11" si="5">IF(R5="N/A","N/A",IF(C5="PSH",(IF(R5&gt;=0.7,5,IF(R5&gt;=0.55,3,IF(R5&gt;=0.4,1,0)))),(IF(R5&gt;=0.15,5,IF(R5&gt;=0.1,3,IF(R5&gt;=0.05,1,0))))))</f>
        <v>0</v>
      </c>
      <c r="AR5" s="198">
        <f t="shared" ref="AR5:AR11" si="6">IF(S5="N/A","N/A",IF(C5="PSH",(IF(S5&gt;=0.15,5,IF(S5&gt;=0.1,3,IF(S5&gt;=0.05,1,0)))),(IF(S5&gt;=0.7,5,IF(S5&gt;=0.5,3,IF(S5&gt;=0.35,1,0))))))</f>
        <v>5</v>
      </c>
      <c r="AS5" s="198">
        <f t="shared" ref="AS5:AS11" si="7">IF(T5="N/A","N/A",IF(C5="PSH",(IF(T5&gt;=0.65,3,IF(T5&gt;=0.5,2,IF(T5&gt;=0.35,1,0)))),(IF(T5&gt;=0.55,3,IF(T5&gt;=0.4,2,IF(T5&gt;=0.25,1,0))))))</f>
        <v>3</v>
      </c>
      <c r="AT5" s="199" t="str">
        <f>IF(U5="N/A","N/A",IF(U5&gt;=0.5,5,IF(U5&gt;=0.35,3,IF(U5&gt;=0.25,1,0))))</f>
        <v>N/A</v>
      </c>
      <c r="AU5" s="199">
        <f>IF(V5="N/A","N/A",IF(V5&gt;=0.85,5,IF(V5&gt;=0.65,3,IF(V5&gt;=0.45,1,0))))</f>
        <v>5</v>
      </c>
      <c r="AV5" s="199" t="str">
        <f>IF(W5="No Exits","N/A",IF(W5="N/A","N/A",IF(W5&gt;=0.85,5,IF(W5&gt;=0.65,3,IF(W5&gt;=0.45,1,0)))))</f>
        <v>N/A</v>
      </c>
      <c r="AW5" s="199">
        <f>IF(X5="No Exits","N/A",IF(X5="N/A","N/A",IF(X5&lt;=0.05,5,0)))</f>
        <v>0</v>
      </c>
      <c r="AX5" s="199">
        <f>IF(Y5="No PH Exits","N/A",IF(Y5="N/A","N/A",IF(Y5&lt;0.15,10,IF(Y5&lt;0.2,5,IF(Y5&lt;=0.25,3,0)))))</f>
        <v>3</v>
      </c>
      <c r="AY5" s="199">
        <f t="shared" ref="AY5:AY11" si="8">IF(Z5="No Entries","N/A",IF(Z5="N/A","N/A",IF(Z5&gt;=0.75,2,IF(Z5&gt;=0.5,1,0))))</f>
        <v>0</v>
      </c>
      <c r="AZ5" s="199">
        <f t="shared" ref="AZ5:AZ11" si="9">IF(AA5="N/A","N/A",IF(AA5&gt;=0.25,5,0))</f>
        <v>5</v>
      </c>
      <c r="BA5" s="199">
        <f t="shared" ref="BA5:BA11" si="10">IF(AB5="N/A","N/A",IF(AB5="Yes",5,0))</f>
        <v>5</v>
      </c>
      <c r="BB5" s="199">
        <f t="shared" ref="BB5" si="11">IF(AC5="N/A","N/A",IF(AC5="Yes",2,0))</f>
        <v>2</v>
      </c>
      <c r="BC5" s="198">
        <f>IF(AD5="N/A","N/A",IF(AD5="Yes",3,0))</f>
        <v>3</v>
      </c>
      <c r="BD5" s="200">
        <f t="shared" ref="BD5:BH5" si="12">AE5*2</f>
        <v>1.3333333333333333</v>
      </c>
      <c r="BE5" s="200">
        <f t="shared" si="12"/>
        <v>9.5238095238095233E-2</v>
      </c>
      <c r="BF5" s="200">
        <f t="shared" si="12"/>
        <v>9.5238095238095233E-2</v>
      </c>
      <c r="BG5" s="200">
        <f t="shared" si="12"/>
        <v>9.5238095238095233E-2</v>
      </c>
      <c r="BH5" s="200">
        <f t="shared" si="12"/>
        <v>0.47619047619047616</v>
      </c>
      <c r="BI5" s="197"/>
      <c r="BJ5" s="198">
        <f>IF(AK5="N/A",0,10)</f>
        <v>10</v>
      </c>
      <c r="BK5" s="198">
        <f>IF(AL5="N/A",0,10)</f>
        <v>10</v>
      </c>
      <c r="BL5" s="198">
        <f>IF(AM5="N/A",0,10)</f>
        <v>10</v>
      </c>
      <c r="BM5" s="198">
        <f>IF(AN5="N/A",0,5)</f>
        <v>5</v>
      </c>
      <c r="BN5" s="198">
        <f>IF(AO5="N/A",0,5)</f>
        <v>5</v>
      </c>
      <c r="BO5" s="198">
        <f>IF(AP5="N/A",0,10)</f>
        <v>10</v>
      </c>
      <c r="BP5" s="198">
        <f>IF(AQ5="N/A",0,5)</f>
        <v>5</v>
      </c>
      <c r="BQ5" s="198">
        <f>IF(AR5="N/A",0,5)</f>
        <v>5</v>
      </c>
      <c r="BR5" s="198">
        <f>IF(AS5="N/A",0,3)</f>
        <v>3</v>
      </c>
      <c r="BS5" s="198">
        <f t="shared" ref="BS5:BZ5" si="13">IF(AT5="N/A",0,5)</f>
        <v>0</v>
      </c>
      <c r="BT5" s="198">
        <f t="shared" si="13"/>
        <v>5</v>
      </c>
      <c r="BU5" s="198">
        <f t="shared" si="13"/>
        <v>0</v>
      </c>
      <c r="BV5" s="198">
        <f t="shared" si="13"/>
        <v>5</v>
      </c>
      <c r="BW5" s="198">
        <f>IF(AX5="N/A",0,10)</f>
        <v>10</v>
      </c>
      <c r="BX5" s="198">
        <f>IF(AY5="N/A",0,2)</f>
        <v>2</v>
      </c>
      <c r="BY5" s="198">
        <f t="shared" si="13"/>
        <v>5</v>
      </c>
      <c r="BZ5" s="198">
        <f t="shared" si="13"/>
        <v>5</v>
      </c>
      <c r="CA5" s="198">
        <f>IF(BB5="N/A",0,2)</f>
        <v>2</v>
      </c>
      <c r="CB5" s="198">
        <f>IF(BC5="N/A",0,3)</f>
        <v>3</v>
      </c>
      <c r="CC5" s="199">
        <v>0</v>
      </c>
      <c r="CD5" s="199">
        <v>0</v>
      </c>
      <c r="CE5" s="199">
        <v>0</v>
      </c>
      <c r="CF5" s="199">
        <v>0</v>
      </c>
      <c r="CG5" s="199">
        <v>0</v>
      </c>
    </row>
    <row r="6" spans="1:85" s="46" customFormat="1" ht="38.25" x14ac:dyDescent="0.25">
      <c r="A6" s="189" t="s">
        <v>219</v>
      </c>
      <c r="B6" s="189" t="s">
        <v>183</v>
      </c>
      <c r="C6" s="190" t="s">
        <v>11</v>
      </c>
      <c r="D6" s="190" t="str">
        <f>_xlfn.XLOOKUP(A6,'Raw Project Data'!$A$4:$A$10,'Raw Project Data'!$G$4:$G$10,"Not Found",0)</f>
        <v>Tenant-Based</v>
      </c>
      <c r="E6" s="189" t="s">
        <v>216</v>
      </c>
      <c r="F6" s="189" t="s">
        <v>220</v>
      </c>
      <c r="G6" s="191" t="s">
        <v>218</v>
      </c>
      <c r="H6" s="405">
        <f t="shared" si="0"/>
        <v>100</v>
      </c>
      <c r="I6" s="405">
        <f t="shared" ref="I6:I11" si="14">SUM(AK6:BC6)</f>
        <v>63</v>
      </c>
      <c r="J6" s="405">
        <f t="shared" ref="J6:J11" si="15">SUM(BD6:BH6)</f>
        <v>3.4045161290322579</v>
      </c>
      <c r="K6" s="405">
        <f t="shared" ref="K6:K11" si="16">((I6/H6)*100)+J6</f>
        <v>66.40451612903226</v>
      </c>
      <c r="L6" s="192">
        <f>_xlfn.XLOOKUP(A6,'Raw Project Data'!$A$4:$A$10,'Raw Project Data'!$N$4:$N$10,"NA",0)/_xlfn.XLOOKUP(A6,'Raw Project Data'!$A$4:$A$10,'Raw Project Data'!$O$4:$O$10,"NA",0)</f>
        <v>0.9</v>
      </c>
      <c r="M6" s="192">
        <f>AVERAGE(_xlfn.XLOOKUP(A6,'Raw Project Data'!$A$4:$A$10,'Raw Project Data'!$AF$4:$AF$10,"NA",0),_xlfn.XLOOKUP(A6,'Raw Project Data'!$A$4:$A$10,'Raw Project Data'!$AG$4:$AG$10,"NA",0),_xlfn.XLOOKUP(A6,'Raw Project Data'!$A$4:$A$10,'Raw Project Data'!$AH$4:$AH$10,"NA",0),_xlfn.XLOOKUP(A6,'Raw Project Data'!$A$4:$A$10,'Raw Project Data'!$AI$4:$AI$10,"NA",0))/_xlfn.XLOOKUP(A6,'Raw Project Data'!$A$4:$A$10,'Raw Project Data'!$H$4:$H$10,"NA",0)</f>
        <v>0.36875000000000002</v>
      </c>
      <c r="N6" s="192">
        <f>_xlfn.XLOOKUP(A6,'Raw Project Data'!$A$4:$A$10,'Raw Project Data'!$AZ$4:$AZ$10,"NA",0)/(_xlfn.XLOOKUP(A6,'Raw Project Data'!$A$4:$A$10,'Raw Project Data'!$BB$4:$BB$10,"NA",0)-_xlfn.XLOOKUP(A6,'Raw Project Data'!$A$4:$A$10,'Raw Project Data'!$BA$4:$BA$10,"NA",0))</f>
        <v>0.82399999999999995</v>
      </c>
      <c r="O6" s="192" t="str">
        <f>IF(_xlfn.XLOOKUP(A6,'Raw Project Data'!$A$4:$A$10,'Raw Project Data'!$C$4:$C$10,"NA",0)="RRH","N/A",(_xlfn.XLOOKUP(A6,'Raw Project Data'!$A$4:$A$10,'Raw Project Data'!$CK$4:$CK$10,"NA",0)/(_xlfn.XLOOKUP(A6,'Raw Project Data'!$A$4:$A$10,'Raw Project Data'!$CM$4:$CM$10,"NA",0)-_xlfn.XLOOKUP(A6,'Raw Project Data'!$A$4:$A$10,'Raw Project Data'!$CL$4:$CL$10,"NA",0))))</f>
        <v>N/A</v>
      </c>
      <c r="P6" s="193">
        <f>IF((_xlfn.XLOOKUP(A6,'Raw Project Data'!$A$4:$A$10,'Raw Project Data'!$W$4:$W$10,"NA",0)+_xlfn.XLOOKUP(A6,'Raw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Data'!$AB$4:$AB$10,"NA",0))=0,"No Entries",_xlfn.XLOOKUP(A6,'Raw Project Data'!$A$4:$A$10,'Raw Project Data'!$CB$4:$CB$10,"NA",0))</f>
        <v>21.14</v>
      </c>
      <c r="Q6" s="192">
        <f>(_xlfn.XLOOKUP(A6,'Raw Project Data'!$A$4:$A$10,'Raw Project Data'!$BL$4:$BL$10,"NA",0)+_xlfn.XLOOKUP(A6,'Raw Project Data'!$A$4:$A$10,'Raw Project Data'!$BN$4:$BN$10,"NA",0))/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0.13953488372093023</v>
      </c>
      <c r="R6" s="192">
        <f>(_xlfn.XLOOKUP(A6,'Raw Project Data'!$A$4:$A$10,'Raw Project Data'!$BM$4:$BM$10,"NA",0)+_xlfn.XLOOKUP(A6,'Raw Project Data'!$A$4:$A$10,'Raw Project Data'!$BO$4:$BO$10,"NA",0))/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0.11627906976744186</v>
      </c>
      <c r="S6" s="192">
        <f>(_xlfn.XLOOKUP(A6,'Raw Project Data'!$A$4:$A$10,'Raw Project Data'!$BH$4:$BH$10,"NA",0)+_xlfn.XLOOKUP(A6,'Raw Project Data'!$A$4:$A$10,'Raw Project Data'!$BI$4:$BI$10,"NA",0)+_xlfn.XLOOKUP(A6,'Raw Project Data'!$A$4:$A$10,'Raw Project Data'!$BJ$4:$BJ$10,"NA",0)+_xlfn.XLOOKUP(A6,'Raw Project Data'!$A$4:$A$10,'Raw Project Data'!$BK$4:$BK$10,"NA",0))/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0.46511627906976744</v>
      </c>
      <c r="T6" s="192">
        <f>(_xlfn.XLOOKUP(A6,'Raw Project Data'!$A$4:$A$10,'Raw Project Data'!$BP$4:$BP$10,"NA",0)+_xlfn.XLOOKUP(A6,'Raw Project Data'!$A$4:$A$10,'Raw Project Data'!$BQ$4:$BQ$10,"NA",0))/
(_xlfn.XLOOKUP(A6,'Raw Project Data'!$A$4:$A$10,'Raw Project Data'!$BT$4:$BT$10,"NA",0)+_xlfn.XLOOKUP(A6,'Raw Project Data'!$A$4:$A$10,'Raw Project Data'!$BU$4:$BU$10,"NA",0)-(_xlfn.XLOOKUP(A6,'Raw Project Data'!$A$4:$A$10,'Raw Project Data'!$BE$4:$BE$10,"NA",0)-_xlfn.XLOOKUP(A6,'Raw Project Data'!$A$4:$A$10,'Raw Project Data'!$BR$4:$BR$10,"NA",0)-_xlfn.XLOOKUP(A6,'Raw Project Data'!$A$4:$A$10,'Raw Project Data'!$BS$4:$BS$10,"NA",0)))</f>
        <v>0.76190476190476186</v>
      </c>
      <c r="U6" s="194">
        <f>IF(_xlfn.XLOOKUP(A6,'Raw Project Data'!$A$4:$A$10,'Raw Project Data'!$C$4:$C$10,"NA",0)="PSH","N/A",
(_xlfn.XLOOKUP(A6,'Raw Project Data'!$A$4:$A$10,'Raw Project Data'!$BV$4:$BV$10,"NA",0)+_xlfn.XLOOKUP(A6,'Raw Project Data'!$A$4:$A$10,'Raw Project Data'!$BW$4:$BW$10,"NA",0)+_xlfn.XLOOKUP(A6,'Raw Project Data'!$A$4:$A$10,'Raw Project Data'!$BX$4:$BX$10,"NA",0)+_xlfn.XLOOKUP(A6,'Raw Project Data'!$A$4:$A$10,'Raw Project Data'!$BY$4:$BY$10,"NA",0))/
(_xlfn.XLOOKUP(A6,'Raw Project Data'!$A$4:$A$10,'Raw Project Data'!$BZ$4:$BZ$10,"NA",0)))</f>
        <v>0.56944444444444442</v>
      </c>
      <c r="V6" s="192" t="str">
        <f>IF(_xlfn.XLOOKUP(A6,'Raw Project Data'!$A$4:$A$10,'Raw Project Data'!$C$4:$C$10,"NA",0)="RRH","N/A",
(_xlfn.XLOOKUP(A6,'Raw Project Data'!$A$4:$A$10,'Raw Project Data'!$CA$4:$CA$10,"NA",0)+_xlfn.XLOOKUP(A6,'Raw Project Data'!$A$4:$A$10,'Raw Project Data'!$CH$4:$CH$10,"NA",0))/
((_xlfn.XLOOKUP(A6,'Raw Project Data'!$A$4:$A$10,'Raw Project Data'!$CG$4:$CG$10,"NA",0)+_xlfn.XLOOKUP(A6,'Raw Project Data'!$A$4:$A$10,'Raw Project Data'!$CA$4:$CA$10,"NA",0))-(_xlfn.XLOOKUP(A6,'Raw Project Data'!$A$4:$A$10,'Raw Project Data'!$CI$4:$CI$10,"NA",0))))</f>
        <v>N/A</v>
      </c>
      <c r="W6" s="195">
        <f>IF(_xlfn.XLOOKUP(A6,'Raw Project Data'!$A$4:$A$10,'Raw Project Data'!$C$4:$C$10,"NA",0)="PSH","N/A",
IF(_xlfn.XLOOKUP(A6,'Raw Project Data'!$A$4:$A$10,'Raw Project Data'!$CG$4:$CG$10,"NA",0)=0,"No Exits",
_xlfn.XLOOKUP(A6,'Raw Project Data'!$A$4:$A$10,'Raw Project Data'!$CJ$4:$CJ$10,"NA",0)))</f>
        <v>0.90500000000000003</v>
      </c>
      <c r="X6" s="192">
        <f>IF(_xlfn.XLOOKUP(A6,'Raw Project Data'!$A$4:$A$10,'Raw Project Data'!$CG$4:$CG$10,"NA",0)=0,"No Exits",
((_xlfn.XLOOKUP(A6,'Raw Project Data'!$A$4:$A$10,'Raw Project Data'!$CC$4:$CC$10,"NA",0)+_xlfn.XLOOKUP(A6,'Raw Project Data'!$A$4:$A$10,'Raw Project Data'!$CD$4:$CD$10,"NA",0)+_xlfn.XLOOKUP(A6,'Raw Project Data'!$A$4:$A$10,'Raw Project Data'!$CF$4:$CF$10,"NA",0))/
(_xlfn.XLOOKUP(A6,'Raw Project Data'!$A$4:$A$10,'Raw Project Data'!$CG$4:$CG$10,"NA",0))))</f>
        <v>0</v>
      </c>
      <c r="Y6" s="192">
        <f>IF(_xlfn.XLOOKUP(A6,'Raw Project Data'!$A$4:$A$10,'Raw Project Data'!$Q$4:$Q$10,"NA",0)=0,"No PH Exits",
(_xlfn.XLOOKUP(A6,'Raw Project Data'!$A$4:$A$10,'Raw Project Data'!$P$4:$P$10,"NA",0)/_xlfn.XLOOKUP(A6,'Raw Project Data'!$A$4:$A$10,'Raw Project Data'!$Q$4:$Q$10,"NA",0)))</f>
        <v>0.125</v>
      </c>
      <c r="Z6" s="192">
        <f>IF((_xlfn.XLOOKUP(A6,'Raw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Data'!$AB$4:$AB$10,"NA",0))=0,"No Entries",
(_xlfn.XLOOKUP(A6,'Raw Project Data'!$A$4:$A$10,'Raw Project Data'!$W$4:$W$10,"NA",0)+_xlfn.XLOOKUP(A6,'Raw Project Data'!$A$4:$A$10,'Raw Project Data'!$X$4:$X$10,"NA",0)+_xlfn.XLOOKUP(A6,'Raw Project Data'!$A$4:$A$10,'Raw Project Data'!$Y$4:$Y$10,"NA",0))/(_xlfn.XLOOKUP(A6,'Raw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f>
        <v>0.28846153846153844</v>
      </c>
      <c r="AA6" s="192">
        <f>_xlfn.XLOOKUP(A6,'Raw Project Data'!$A$4:$A$10,'Raw Project Data'!$J$4:$J$10,"NA",0)</f>
        <v>0.25</v>
      </c>
      <c r="AB6" s="196" t="str">
        <f>_xlfn.XLOOKUP(A6,'Raw Project Data'!$A$4:$A$10,'Raw Project Data'!$R$4:$R$10,"NA",0)</f>
        <v>Yes</v>
      </c>
      <c r="AC6" s="196" t="str">
        <f>_xlfn.XLOOKUP(A6,'Raw Project Data'!$A$4:$A$10,'Raw Project Data'!$S$4:$S$10,"NA",0)</f>
        <v>Yes</v>
      </c>
      <c r="AD6" s="194" t="str">
        <f>_xlfn.XLOOKUP(A6,'Raw Project Data'!$A$4:$A$10,'Raw Project Data'!$T$4:$T$10,"NA",0)</f>
        <v>Yes</v>
      </c>
      <c r="AE6" s="192">
        <f>(_xlfn.XLOOKUP(A6,'Raw Project Data'!$A$4:$A$10,'Raw Project Data'!$AN$4:$AN$10,"NA",0)+_xlfn.XLOOKUP(A6,'Raw Project Data'!$A$4:$A$10,'Raw Project Data'!$AO$4:$AO$10,"NA",0)+_xlfn.XLOOKUP(A6,'Raw Project Data'!$A$4:$A$10,'Raw Project Data'!$AP$4:$AP$10,"NA",0)+_xlfn.XLOOKUP(A6,'Raw Project Data'!$A$4:$A$10,'Raw Project Data'!$AQ$4:$AQ$10,"NA",0))/(_xlfn.XLOOKUP(A6,'Raw Project Data'!$A$4:$A$10,'Raw Project Data'!$AR$4:$AR$10,"NA",0)+_xlfn.XLOOKUP(A6,'Raw Project Data'!$A$4:$A$10,'Raw Project Data'!$AS$4:$AS$10,"NA",0)-_xlfn.XLOOKUP(A6,'Raw Project Data'!$A$4:$A$10,'Raw Project Data'!$AT$4:$AT$10,"NA",0)-_xlfn.XLOOKUP(A6,'Raw Project Data'!$A$4:$A$10,'Raw Project Data'!$AU$4:$AU$10,"NA",0))</f>
        <v>0.47580645161290325</v>
      </c>
      <c r="AF6" s="194">
        <f>_xlfn.XLOOKUP(A6,'Raw Project Data'!$A$4:$A$10,'Raw Project Data'!$AV$4:$AV$10,"NA",0)/(_xlfn.XLOOKUP(A6,'Raw Project Data'!$A$4:$A$10,'Raw Project Data'!$AX$4:$AX$10,"NA",0)-_xlfn.XLOOKUP(A6,'Raw Project Data'!$A$4:$A$10,'Raw Project Data'!$AW$4:$AW$10,"NA",0))</f>
        <v>0.48</v>
      </c>
      <c r="AG6" s="194">
        <f>_xlfn.XLOOKUP(A6,'Raw Project Data'!$A$4:$A$10,'Raw Project Data'!$AY$4:$AY$10,"NA",0)/(_xlfn.XLOOKUP(A6,'Raw Project Data'!$A$4:$A$10,'Raw Project Data'!$BB$4:$BB$10,"NA",0)-_xlfn.XLOOKUP(A6,'Raw Project Data'!$A$4:$A$10,'Raw Project Data'!$BA$4:$BA$10,"NA",0))</f>
        <v>0.44</v>
      </c>
      <c r="AH6" s="194">
        <f>_xlfn.XLOOKUP(A6,'Raw Project Data'!$A$4:$A$10,'Raw Project Data'!$AJ$4:$AJ$10,"NA",0)/(_xlfn.XLOOKUP(A6,'Raw Project Data'!$A$4:$A$10,'Raw Project Data'!$V$4:$V$10,"NA",0)-_xlfn.XLOOKUP(A6,'Raw Project Data'!$A$4:$A$10,'Raw Project Data'!$AM$4:$AM$10,"NA",0))</f>
        <v>0.20161290322580644</v>
      </c>
      <c r="AI6" s="194">
        <f>(_xlfn.XLOOKUP(A6,'Raw Project Data'!$A$4:$A$10,'Raw Project Data'!$AK$4:$AK$10,"NA",0)+_xlfn.XLOOKUP(A6,'Raw Project Data'!$A$4:$A$10,'Raw Project Data'!$AL$4:$AL$10,"NA",0))/(_xlfn.XLOOKUP(A6,'Raw Project Data'!$A$4:$A$10,'Raw Project Data'!$V$4:$V$10,"NA",0)-_xlfn.XLOOKUP(A6,'Raw Project Data'!$A$4:$A$10,'Raw Project Data'!$AM$4:$AM$10,"NA",0))</f>
        <v>0.10483870967741936</v>
      </c>
      <c r="AJ6" s="197"/>
      <c r="AK6" s="198">
        <f t="shared" si="1"/>
        <v>5</v>
      </c>
      <c r="AL6" s="198">
        <f t="shared" si="2"/>
        <v>0</v>
      </c>
      <c r="AM6" s="198">
        <f t="shared" si="3"/>
        <v>0</v>
      </c>
      <c r="AN6" s="198" t="str">
        <f t="shared" ref="AN6:AN11" si="17">IF(O6="N/A","N/A",IF(O6&gt;=0.95,5,IF(O6&gt;=0.85,3,IF(O6&gt;=0.75,1,0))))</f>
        <v>N/A</v>
      </c>
      <c r="AO6" s="198">
        <f t="shared" ref="AO6:AO11" si="18">IF(P6="No Entries","N/A",IF(D6="Tenant-Based",(IF(P6&lt;31,5,IF(P6&lt;61,3,IF(P6&lt;181,1,0)))),IF(D6="Site-Based",IF(P6&lt;15,5,IF(P6&lt;22,3,IF(P6&lt;61,1,0))))))</f>
        <v>5</v>
      </c>
      <c r="AP6" s="198">
        <f t="shared" si="4"/>
        <v>6</v>
      </c>
      <c r="AQ6" s="198">
        <f t="shared" si="5"/>
        <v>3</v>
      </c>
      <c r="AR6" s="198">
        <f t="shared" si="6"/>
        <v>1</v>
      </c>
      <c r="AS6" s="198">
        <f t="shared" si="7"/>
        <v>3</v>
      </c>
      <c r="AT6" s="199">
        <f t="shared" ref="AT6:AT11" si="19">IF(U6="N/A","N/A",IF(U6&gt;=0.5,5,IF(U6&gt;=0.35,3,IF(U6&gt;=0.25,1,0))))</f>
        <v>5</v>
      </c>
      <c r="AU6" s="199" t="str">
        <f t="shared" ref="AU6:AU11" si="20">IF(V6="N/A","N/A",IF(V6&gt;=0.85,5,IF(V6&gt;=0.65,3,IF(V6&gt;=0.45,1,0))))</f>
        <v>N/A</v>
      </c>
      <c r="AV6" s="199">
        <f t="shared" ref="AV6:AV11" si="21">IF(W6="No Exits","N/A",IF(W6="N/A","N/A",IF(W6&gt;=0.85,5,IF(W6&gt;=0.65,3,IF(W6&gt;=0.45,1,0)))))</f>
        <v>5</v>
      </c>
      <c r="AW6" s="199">
        <f t="shared" ref="AW6:AW11" si="22">IF(X6="No Exits","N/A",IF(X6="N/A","N/A",IF(X6&lt;=0.05,5,0)))</f>
        <v>5</v>
      </c>
      <c r="AX6" s="199">
        <f t="shared" ref="AX6:AX11" si="23">IF(Y6="No PH Exits","N/A",IF(Y6="N/A","N/A",IF(Y6&lt;0.15,10,IF(Y6&lt;0.2,5,IF(Y6&lt;=0.25,3,0)))))</f>
        <v>10</v>
      </c>
      <c r="AY6" s="199">
        <f t="shared" si="8"/>
        <v>0</v>
      </c>
      <c r="AZ6" s="199">
        <f t="shared" si="9"/>
        <v>5</v>
      </c>
      <c r="BA6" s="199">
        <f t="shared" si="10"/>
        <v>5</v>
      </c>
      <c r="BB6" s="199">
        <f t="shared" ref="BB6:BB11" si="24">IF(AC6="N/A","N/A",IF(AC6="Yes",2,0))</f>
        <v>2</v>
      </c>
      <c r="BC6" s="198">
        <f t="shared" ref="BC6:BC11" si="25">IF(AD6="N/A","N/A",IF(AD6="Yes",3,0))</f>
        <v>3</v>
      </c>
      <c r="BD6" s="200">
        <f t="shared" ref="BD6:BD11" si="26">AE6*2</f>
        <v>0.95161290322580649</v>
      </c>
      <c r="BE6" s="200">
        <f t="shared" ref="BE6:BE11" si="27">AF6*2</f>
        <v>0.96</v>
      </c>
      <c r="BF6" s="200">
        <f t="shared" ref="BF6:BF11" si="28">AG6*2</f>
        <v>0.88</v>
      </c>
      <c r="BG6" s="200">
        <f t="shared" ref="BG6:BG11" si="29">AH6*2</f>
        <v>0.40322580645161288</v>
      </c>
      <c r="BH6" s="200">
        <f t="shared" ref="BH6:BH11" si="30">AI6*2</f>
        <v>0.20967741935483872</v>
      </c>
      <c r="BI6" s="197"/>
      <c r="BJ6" s="198">
        <f t="shared" ref="BJ6:BJ11" si="31">IF(AK6="N/A",0,10)</f>
        <v>10</v>
      </c>
      <c r="BK6" s="198">
        <f t="shared" ref="BK6:BK11" si="32">IF(AL6="N/A",0,10)</f>
        <v>10</v>
      </c>
      <c r="BL6" s="198">
        <f t="shared" ref="BL6:BL11" si="33">IF(AM6="N/A",0,10)</f>
        <v>10</v>
      </c>
      <c r="BM6" s="198">
        <f t="shared" ref="BM6:BM11" si="34">IF(AN6="N/A",0,5)</f>
        <v>0</v>
      </c>
      <c r="BN6" s="198">
        <f t="shared" ref="BN6:BN11" si="35">IF(AO6="N/A",0,5)</f>
        <v>5</v>
      </c>
      <c r="BO6" s="198">
        <f t="shared" ref="BO6:BO11" si="36">IF(AP6="N/A",0,10)</f>
        <v>10</v>
      </c>
      <c r="BP6" s="198">
        <f t="shared" ref="BP6:BP11" si="37">IF(AQ6="N/A",0,5)</f>
        <v>5</v>
      </c>
      <c r="BQ6" s="198">
        <f t="shared" ref="BQ6:BQ11" si="38">IF(AR6="N/A",0,5)</f>
        <v>5</v>
      </c>
      <c r="BR6" s="198">
        <f t="shared" ref="BR6:BR11" si="39">IF(AS6="N/A",0,3)</f>
        <v>3</v>
      </c>
      <c r="BS6" s="199">
        <f t="shared" ref="BS6:BS11" si="40">IF(AT6="N/A",0,5)</f>
        <v>5</v>
      </c>
      <c r="BT6" s="199">
        <f t="shared" ref="BT6:BT11" si="41">IF(AU6="N/A",0,5)</f>
        <v>0</v>
      </c>
      <c r="BU6" s="199">
        <f t="shared" ref="BU6:BU11" si="42">IF(AV6="N/A",0,5)</f>
        <v>5</v>
      </c>
      <c r="BV6" s="199">
        <f t="shared" ref="BV6:BV11" si="43">IF(AW6="N/A",0,5)</f>
        <v>5</v>
      </c>
      <c r="BW6" s="199">
        <f t="shared" ref="BW6:BW11" si="44">IF(AX6="N/A",0,10)</f>
        <v>10</v>
      </c>
      <c r="BX6" s="199">
        <f t="shared" ref="BX6:BX11" si="45">IF(AY6="N/A",0,2)</f>
        <v>2</v>
      </c>
      <c r="BY6" s="199">
        <f t="shared" ref="BY6:BY11" si="46">IF(AZ6="N/A",0,5)</f>
        <v>5</v>
      </c>
      <c r="BZ6" s="199">
        <f t="shared" ref="BZ6:BZ11" si="47">IF(BA6="N/A",0,5)</f>
        <v>5</v>
      </c>
      <c r="CA6" s="199">
        <f t="shared" ref="CA6:CA11" si="48">IF(BB6="N/A",0,2)</f>
        <v>2</v>
      </c>
      <c r="CB6" s="198">
        <f t="shared" ref="CB6:CB11" si="49">IF(BC6="N/A",0,3)</f>
        <v>3</v>
      </c>
      <c r="CC6" s="199">
        <v>0</v>
      </c>
      <c r="CD6" s="199">
        <v>0</v>
      </c>
      <c r="CE6" s="199">
        <v>0</v>
      </c>
      <c r="CF6" s="199">
        <v>0</v>
      </c>
      <c r="CG6" s="199">
        <v>0</v>
      </c>
    </row>
    <row r="7" spans="1:85" s="46" customFormat="1" ht="12.75" x14ac:dyDescent="0.25">
      <c r="A7" s="201" t="s">
        <v>182</v>
      </c>
      <c r="B7" s="201" t="s">
        <v>183</v>
      </c>
      <c r="C7" s="202" t="s">
        <v>10</v>
      </c>
      <c r="D7" s="202" t="str">
        <f>_xlfn.XLOOKUP(A7,'Raw Project Data'!$A$4:$A$10,'Raw Project Data'!$G$4:$G$10,"Not Found",0)</f>
        <v>Site-Based</v>
      </c>
      <c r="E7" s="201" t="s">
        <v>221</v>
      </c>
      <c r="F7" s="201" t="s">
        <v>184</v>
      </c>
      <c r="G7" s="203" t="s">
        <v>222</v>
      </c>
      <c r="H7" s="406" t="e">
        <f t="shared" si="0"/>
        <v>#DIV/0!</v>
      </c>
      <c r="I7" s="406" t="e">
        <f t="shared" si="14"/>
        <v>#DIV/0!</v>
      </c>
      <c r="J7" s="406" t="e">
        <f t="shared" si="15"/>
        <v>#DIV/0!</v>
      </c>
      <c r="K7" s="406" t="e">
        <f t="shared" si="16"/>
        <v>#DIV/0!</v>
      </c>
      <c r="L7" s="204" t="e">
        <f>_xlfn.XLOOKUP(A7,'Raw Project Data'!$A$4:$A$10,'Raw Project Data'!$N$4:$N$10,"NA",0)/_xlfn.XLOOKUP(A7,'Raw Project Data'!$A$4:$A$10,'Raw Project Data'!$O$4:$O$10,"NA",0)</f>
        <v>#DIV/0!</v>
      </c>
      <c r="M7" s="204" t="e">
        <f>AVERAGE(_xlfn.XLOOKUP(A7,'Raw Project Data'!$A$4:$A$10,'Raw Project Data'!$AF$4:$AF$10,"NA",0),_xlfn.XLOOKUP(A7,'Raw Project Data'!$A$4:$A$10,'Raw Project Data'!$AG$4:$AG$10,"NA",0),_xlfn.XLOOKUP(A7,'Raw Project Data'!$A$4:$A$10,'Raw Project Data'!$AH$4:$AH$10,"NA",0),_xlfn.XLOOKUP(A7,'Raw Project Data'!$A$4:$A$10,'Raw Project Data'!$AI$4:$AI$10,"NA",0))/_xlfn.XLOOKUP(A7,'Raw Project Data'!$A$4:$A$10,'Raw Project Data'!$H$4:$H$10,"NA",0)</f>
        <v>#DIV/0!</v>
      </c>
      <c r="N7" s="204" t="e">
        <f>_xlfn.XLOOKUP(A7,'Raw Project Data'!$A$4:$A$10,'Raw Project Data'!$AZ$4:$AZ$10,"NA",0)/(_xlfn.XLOOKUP(A7,'Raw Project Data'!$A$4:$A$10,'Raw Project Data'!$BB$4:$BB$10,"NA",0)-_xlfn.XLOOKUP(A7,'Raw Project Data'!$A$4:$A$10,'Raw Project Data'!$BA$4:$BA$10,"NA",0))</f>
        <v>#DIV/0!</v>
      </c>
      <c r="O7" s="204" t="e">
        <f>IF(_xlfn.XLOOKUP(A7,'Raw Project Data'!$A$4:$A$10,'Raw Project Data'!$C$4:$C$10,"NA",0)="RRH","N/A",(_xlfn.XLOOKUP(A7,'Raw Project Data'!$A$4:$A$10,'Raw Project Data'!$CK$4:$CK$10,"NA",0)/(_xlfn.XLOOKUP(A7,'Raw Project Data'!$A$4:$A$10,'Raw Project Data'!$CM$4:$CM$10,"NA",0)-_xlfn.XLOOKUP(A7,'Raw Project Data'!$A$4:$A$10,'Raw Project Data'!$CL$4:$CL$10,"NA",0))))</f>
        <v>#DIV/0!</v>
      </c>
      <c r="P7" s="205" t="str">
        <f>IF((_xlfn.XLOOKUP(A7,'Raw Project Data'!$A$4:$A$10,'Raw Project Data'!$W$4:$W$10,"NA",0)+_xlfn.XLOOKUP(A7,'Raw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Data'!$AB$4:$AB$10,"NA",0))=0,"No Entries",_xlfn.XLOOKUP(A7,'Raw Project Data'!$A$4:$A$10,'Raw Project Data'!$CB$4:$CB$10,"NA",0))</f>
        <v>No Entries</v>
      </c>
      <c r="Q7" s="204" t="e">
        <f>(_xlfn.XLOOKUP(A7,'Raw Project Data'!$A$4:$A$10,'Raw Project Data'!$BL$4:$BL$10,"NA",0)+_xlfn.XLOOKUP(A7,'Raw Project Data'!$A$4:$A$10,'Raw Project Data'!$BN$4:$BN$10,"NA",0))/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R7" s="204" t="e">
        <f>(_xlfn.XLOOKUP(A7,'Raw Project Data'!$A$4:$A$10,'Raw Project Data'!$BM$4:$BM$10,"NA",0)+_xlfn.XLOOKUP(A7,'Raw Project Data'!$A$4:$A$10,'Raw Project Data'!$BO$4:$BO$10,"NA",0))/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S7" s="204" t="e">
        <f>(_xlfn.XLOOKUP(A7,'Raw Project Data'!$A$4:$A$10,'Raw Project Data'!$BH$4:$BH$10,"NA",0)+_xlfn.XLOOKUP(A7,'Raw Project Data'!$A$4:$A$10,'Raw Project Data'!$BI$4:$BI$10,"NA",0)+_xlfn.XLOOKUP(A7,'Raw Project Data'!$A$4:$A$10,'Raw Project Data'!$BJ$4:$BJ$10,"NA",0)+_xlfn.XLOOKUP(A7,'Raw Project Data'!$A$4:$A$10,'Raw Project Data'!$BK$4:$BK$10,"NA",0))/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T7" s="204" t="e">
        <f>(_xlfn.XLOOKUP(A7,'Raw Project Data'!$A$4:$A$10,'Raw Project Data'!$BP$4:$BP$10,"NA",0)+_xlfn.XLOOKUP(A7,'Raw Project Data'!$A$4:$A$10,'Raw Project Data'!$BQ$4:$BQ$10,"NA",0))/
(_xlfn.XLOOKUP(A7,'Raw Project Data'!$A$4:$A$10,'Raw Project Data'!$BT$4:$BT$10,"NA",0)+_xlfn.XLOOKUP(A7,'Raw Project Data'!$A$4:$A$10,'Raw Project Data'!$BU$4:$BU$10,"NA",0)-(_xlfn.XLOOKUP(A7,'Raw Project Data'!$A$4:$A$10,'Raw Project Data'!$BE$4:$BE$10,"NA",0)-_xlfn.XLOOKUP(A7,'Raw Project Data'!$A$4:$A$10,'Raw Project Data'!$BR$4:$BR$10,"NA",0)-_xlfn.XLOOKUP(A7,'Raw Project Data'!$A$4:$A$10,'Raw Project Data'!$BS$4:$BS$10,"NA",0)))</f>
        <v>#DIV/0!</v>
      </c>
      <c r="U7" s="206" t="str">
        <f>IF(_xlfn.XLOOKUP(A7,'Raw Project Data'!$A$4:$A$10,'Raw Project Data'!$C$4:$C$10,"NA",0)="PSH","N/A",
(_xlfn.XLOOKUP(A7,'Raw Project Data'!$A$4:$A$10,'Raw Project Data'!$BV$4:$BV$10,"NA",0)+_xlfn.XLOOKUP(A7,'Raw Project Data'!$A$4:$A$10,'Raw Project Data'!$BW$4:$BW$10,"NA",0)+_xlfn.XLOOKUP(A7,'Raw Project Data'!$A$4:$A$10,'Raw Project Data'!$BX$4:$BX$10,"NA",0)+_xlfn.XLOOKUP(A7,'Raw Project Data'!$A$4:$A$10,'Raw Project Data'!$BY$4:$BY$10,"NA",0))/
(_xlfn.XLOOKUP(A7,'Raw Project Data'!$A$4:$A$10,'Raw Project Data'!$BZ$4:$BZ$10,"NA",0)))</f>
        <v>N/A</v>
      </c>
      <c r="V7" s="204" t="e">
        <f>IF(_xlfn.XLOOKUP(A7,'Raw Project Data'!$A$4:$A$10,'Raw Project Data'!$C$4:$C$10,"NA",0)="RRH","N/A",
(_xlfn.XLOOKUP(A7,'Raw Project Data'!$A$4:$A$10,'Raw Project Data'!$CA$4:$CA$10,"NA",0)+_xlfn.XLOOKUP(A7,'Raw Project Data'!$A$4:$A$10,'Raw Project Data'!$CH$4:$CH$10,"NA",0))/
((_xlfn.XLOOKUP(A7,'Raw Project Data'!$A$4:$A$10,'Raw Project Data'!$CG$4:$CG$10,"NA",0)+_xlfn.XLOOKUP(A7,'Raw Project Data'!$A$4:$A$10,'Raw Project Data'!$CA$4:$CA$10,"NA",0))-(_xlfn.XLOOKUP(A7,'Raw Project Data'!$A$4:$A$10,'Raw Project Data'!$CI$4:$CI$10,"NA",0))))</f>
        <v>#DIV/0!</v>
      </c>
      <c r="W7" s="207" t="str">
        <f>IF(_xlfn.XLOOKUP(A7,'Raw Project Data'!$A$4:$A$10,'Raw Project Data'!$C$4:$C$10,"NA",0)="PSH","N/A",
IF(_xlfn.XLOOKUP(A7,'Raw Project Data'!$A$4:$A$10,'Raw Project Data'!$CG$4:$CG$10,"NA",0)=0,"No Exits",
_xlfn.XLOOKUP(A7,'Raw Project Data'!$A$4:$A$10,'Raw Project Data'!$CJ$4:$CJ$10,"NA",0)))</f>
        <v>N/A</v>
      </c>
      <c r="X7" s="204" t="str">
        <f>IF(_xlfn.XLOOKUP(A7,'Raw Project Data'!$A$4:$A$10,'Raw Project Data'!$CG$4:$CG$10,"NA",0)=0,"No Exits",
((_xlfn.XLOOKUP(A7,'Raw Project Data'!$A$4:$A$10,'Raw Project Data'!$CC$4:$CC$10,"NA",0)+_xlfn.XLOOKUP(A7,'Raw Project Data'!$A$4:$A$10,'Raw Project Data'!$CD$4:$CD$10,"NA",0)+_xlfn.XLOOKUP(A7,'Raw Project Data'!$A$4:$A$10,'Raw Project Data'!$CF$4:$CF$10,"NA",0))/
(_xlfn.XLOOKUP(A7,'Raw Project Data'!$A$4:$A$10,'Raw Project Data'!$CG$4:$CG$10,"NA",0))))</f>
        <v>No Exits</v>
      </c>
      <c r="Y7" s="204" t="str">
        <f>IF(_xlfn.XLOOKUP(A7,'Raw Project Data'!$A$4:$A$10,'Raw Project Data'!$Q$4:$Q$10,"NA",0)=0,"No PH Exits",
(_xlfn.XLOOKUP(A7,'Raw Project Data'!$A$4:$A$10,'Raw Project Data'!$P$4:$P$10,"NA",0)/_xlfn.XLOOKUP(A7,'Raw Project Data'!$A$4:$A$10,'Raw Project Data'!$Q$4:$Q$10,"NA",0)))</f>
        <v>No PH Exits</v>
      </c>
      <c r="Z7" s="204" t="str">
        <f>IF((_xlfn.XLOOKUP(A7,'Raw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Data'!$AB$4:$AB$10,"NA",0))=0,"No Entries",
(_xlfn.XLOOKUP(A7,'Raw Project Data'!$A$4:$A$10,'Raw Project Data'!$W$4:$W$10,"NA",0)+_xlfn.XLOOKUP(A7,'Raw Project Data'!$A$4:$A$10,'Raw Project Data'!$X$4:$X$10,"NA",0)+_xlfn.XLOOKUP(A7,'Raw Project Data'!$A$4:$A$10,'Raw Project Data'!$Y$4:$Y$10,"NA",0))/(_xlfn.XLOOKUP(A7,'Raw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f>
        <v>No Entries</v>
      </c>
      <c r="AA7" s="204">
        <f>_xlfn.XLOOKUP(A7,'Raw Project Data'!$A$4:$A$10,'Raw Project Data'!$J$4:$J$10,"NA",0)</f>
        <v>0</v>
      </c>
      <c r="AB7" s="208">
        <f>_xlfn.XLOOKUP(A7,'Raw Project Data'!$A$4:$A$10,'Raw Project Data'!$R$4:$R$10,"NA",0)</f>
        <v>0</v>
      </c>
      <c r="AC7" s="208">
        <f>_xlfn.XLOOKUP(A7,'Raw Project Data'!$A$4:$A$10,'Raw Project Data'!$S$4:$S$10,"NA",0)</f>
        <v>0</v>
      </c>
      <c r="AD7" s="208">
        <f>_xlfn.XLOOKUP(A7,'Raw Project Data'!$A$4:$A$10,'Raw Project Data'!$T$4:$T$10,"NA",0)</f>
        <v>0</v>
      </c>
      <c r="AE7" s="204" t="e">
        <f>(_xlfn.XLOOKUP(A7,'Raw Project Data'!$A$4:$A$10,'Raw Project Data'!$AN$4:$AN$10,"NA",0)+_xlfn.XLOOKUP(A7,'Raw Project Data'!$A$4:$A$10,'Raw Project Data'!$AO$4:$AO$10,"NA",0)+_xlfn.XLOOKUP(A7,'Raw Project Data'!$A$4:$A$10,'Raw Project Data'!$AP$4:$AP$10,"NA",0)+_xlfn.XLOOKUP(A7,'Raw Project Data'!$A$4:$A$10,'Raw Project Data'!$AQ$4:$AQ$10,"NA",0))/(_xlfn.XLOOKUP(A7,'Raw Project Data'!$A$4:$A$10,'Raw Project Data'!$AR$4:$AR$10,"NA",0)+_xlfn.XLOOKUP(A7,'Raw Project Data'!$A$4:$A$10,'Raw Project Data'!$AS$4:$AS$10,"NA",0)-_xlfn.XLOOKUP(A7,'Raw Project Data'!$A$4:$A$10,'Raw Project Data'!$AT$4:$AT$10,"NA",0)-_xlfn.XLOOKUP(A7,'Raw Project Data'!$A$4:$A$10,'Raw Project Data'!$AU$4:$AU$10,"NA",0))</f>
        <v>#DIV/0!</v>
      </c>
      <c r="AF7" s="206" t="e">
        <f>_xlfn.XLOOKUP(A7,'Raw Project Data'!$A$4:$A$10,'Raw Project Data'!$AV$4:$AV$10,"NA",0)/(_xlfn.XLOOKUP(A7,'Raw Project Data'!$A$4:$A$10,'Raw Project Data'!$AX$4:$AX$10,"NA",0)-_xlfn.XLOOKUP(A7,'Raw Project Data'!$A$4:$A$10,'Raw Project Data'!$AW$4:$AW$10,"NA",0))</f>
        <v>#DIV/0!</v>
      </c>
      <c r="AG7" s="206" t="e">
        <f>_xlfn.XLOOKUP(A7,'Raw Project Data'!$A$4:$A$10,'Raw Project Data'!$AY$4:$AY$10,"NA",0)/(_xlfn.XLOOKUP(A7,'Raw Project Data'!$A$4:$A$10,'Raw Project Data'!$BB$4:$BB$10,"NA",0)-_xlfn.XLOOKUP(A7,'Raw Project Data'!$A$4:$A$10,'Raw Project Data'!$BA$4:$BA$10,"NA",0))</f>
        <v>#DIV/0!</v>
      </c>
      <c r="AH7" s="206" t="e">
        <f>_xlfn.XLOOKUP(A7,'Raw Project Data'!$A$4:$A$10,'Raw Project Data'!$AJ$4:$AJ$10,"NA",0)/(_xlfn.XLOOKUP(A7,'Raw Project Data'!$A$4:$A$10,'Raw Project Data'!$V$4:$V$10,"NA",0)-_xlfn.XLOOKUP(A7,'Raw Project Data'!$A$4:$A$10,'Raw Project Data'!$AM$4:$AM$10,"NA",0))</f>
        <v>#DIV/0!</v>
      </c>
      <c r="AI7" s="206" t="e">
        <f>(_xlfn.XLOOKUP(A7,'Raw Project Data'!$A$4:$A$10,'Raw Project Data'!$AK$4:$AK$10,"NA",0)+_xlfn.XLOOKUP(A7,'Raw Project Data'!$A$4:$A$10,'Raw Project Data'!$AL$4:$AL$10,"NA",0))/(_xlfn.XLOOKUP(A7,'Raw Project Data'!$A$4:$A$10,'Raw Project Data'!$V$4:$V$10,"NA",0)-_xlfn.XLOOKUP(A7,'Raw Project Data'!$A$4:$A$10,'Raw Project Data'!$AM$4:$AM$10,"NA",0))</f>
        <v>#DIV/0!</v>
      </c>
      <c r="AJ7" s="197"/>
      <c r="AK7" s="209" t="e">
        <f t="shared" si="1"/>
        <v>#DIV/0!</v>
      </c>
      <c r="AL7" s="209" t="e">
        <f t="shared" si="2"/>
        <v>#DIV/0!</v>
      </c>
      <c r="AM7" s="209" t="e">
        <f t="shared" si="3"/>
        <v>#DIV/0!</v>
      </c>
      <c r="AN7" s="209" t="e">
        <f t="shared" si="17"/>
        <v>#DIV/0!</v>
      </c>
      <c r="AO7" s="209" t="str">
        <f t="shared" si="18"/>
        <v>N/A</v>
      </c>
      <c r="AP7" s="209" t="e">
        <f t="shared" si="4"/>
        <v>#DIV/0!</v>
      </c>
      <c r="AQ7" s="209" t="e">
        <f t="shared" si="5"/>
        <v>#DIV/0!</v>
      </c>
      <c r="AR7" s="209" t="e">
        <f t="shared" si="6"/>
        <v>#DIV/0!</v>
      </c>
      <c r="AS7" s="209" t="e">
        <f t="shared" si="7"/>
        <v>#DIV/0!</v>
      </c>
      <c r="AT7" s="210" t="str">
        <f t="shared" si="19"/>
        <v>N/A</v>
      </c>
      <c r="AU7" s="210" t="e">
        <f t="shared" si="20"/>
        <v>#DIV/0!</v>
      </c>
      <c r="AV7" s="210" t="str">
        <f t="shared" si="21"/>
        <v>N/A</v>
      </c>
      <c r="AW7" s="210" t="str">
        <f t="shared" si="22"/>
        <v>N/A</v>
      </c>
      <c r="AX7" s="210" t="str">
        <f t="shared" si="23"/>
        <v>N/A</v>
      </c>
      <c r="AY7" s="210" t="str">
        <f t="shared" si="8"/>
        <v>N/A</v>
      </c>
      <c r="AZ7" s="210">
        <f t="shared" si="9"/>
        <v>0</v>
      </c>
      <c r="BA7" s="210">
        <f t="shared" si="10"/>
        <v>0</v>
      </c>
      <c r="BB7" s="210">
        <f t="shared" si="24"/>
        <v>0</v>
      </c>
      <c r="BC7" s="210">
        <f t="shared" si="25"/>
        <v>0</v>
      </c>
      <c r="BD7" s="211" t="e">
        <f t="shared" si="26"/>
        <v>#DIV/0!</v>
      </c>
      <c r="BE7" s="211" t="e">
        <f t="shared" si="27"/>
        <v>#DIV/0!</v>
      </c>
      <c r="BF7" s="211" t="e">
        <f t="shared" si="28"/>
        <v>#DIV/0!</v>
      </c>
      <c r="BG7" s="211" t="e">
        <f t="shared" si="29"/>
        <v>#DIV/0!</v>
      </c>
      <c r="BH7" s="211" t="e">
        <f t="shared" si="30"/>
        <v>#DIV/0!</v>
      </c>
      <c r="BI7" s="197"/>
      <c r="BJ7" s="209" t="e">
        <f t="shared" si="31"/>
        <v>#DIV/0!</v>
      </c>
      <c r="BK7" s="209" t="e">
        <f t="shared" si="32"/>
        <v>#DIV/0!</v>
      </c>
      <c r="BL7" s="209" t="e">
        <f t="shared" si="33"/>
        <v>#DIV/0!</v>
      </c>
      <c r="BM7" s="209" t="e">
        <f t="shared" si="34"/>
        <v>#DIV/0!</v>
      </c>
      <c r="BN7" s="209">
        <f t="shared" si="35"/>
        <v>0</v>
      </c>
      <c r="BO7" s="209" t="e">
        <f t="shared" si="36"/>
        <v>#DIV/0!</v>
      </c>
      <c r="BP7" s="209" t="e">
        <f t="shared" si="37"/>
        <v>#DIV/0!</v>
      </c>
      <c r="BQ7" s="209" t="e">
        <f t="shared" si="38"/>
        <v>#DIV/0!</v>
      </c>
      <c r="BR7" s="209" t="e">
        <f t="shared" si="39"/>
        <v>#DIV/0!</v>
      </c>
      <c r="BS7" s="210">
        <f t="shared" si="40"/>
        <v>0</v>
      </c>
      <c r="BT7" s="210" t="e">
        <f t="shared" si="41"/>
        <v>#DIV/0!</v>
      </c>
      <c r="BU7" s="210">
        <f t="shared" si="42"/>
        <v>0</v>
      </c>
      <c r="BV7" s="210">
        <f t="shared" si="43"/>
        <v>0</v>
      </c>
      <c r="BW7" s="210">
        <f t="shared" si="44"/>
        <v>0</v>
      </c>
      <c r="BX7" s="210">
        <f t="shared" si="45"/>
        <v>0</v>
      </c>
      <c r="BY7" s="210">
        <f t="shared" si="46"/>
        <v>5</v>
      </c>
      <c r="BZ7" s="210">
        <f t="shared" si="47"/>
        <v>5</v>
      </c>
      <c r="CA7" s="210">
        <f t="shared" si="48"/>
        <v>2</v>
      </c>
      <c r="CB7" s="210">
        <f t="shared" si="49"/>
        <v>3</v>
      </c>
      <c r="CC7" s="210">
        <v>0</v>
      </c>
      <c r="CD7" s="210">
        <v>0</v>
      </c>
      <c r="CE7" s="210">
        <v>0</v>
      </c>
      <c r="CF7" s="210">
        <v>0</v>
      </c>
      <c r="CG7" s="210">
        <v>0</v>
      </c>
    </row>
    <row r="8" spans="1:85" s="46" customFormat="1" ht="12.75" x14ac:dyDescent="0.25">
      <c r="A8" s="201" t="s">
        <v>185</v>
      </c>
      <c r="B8" s="201" t="s">
        <v>183</v>
      </c>
      <c r="C8" s="202" t="s">
        <v>10</v>
      </c>
      <c r="D8" s="202" t="str">
        <f>_xlfn.XLOOKUP(A8,'Raw Project Data'!$A$4:$A$10,'Raw Project Data'!$G$4:$G$10,"Not Found",0)</f>
        <v>Site-Based</v>
      </c>
      <c r="E8" s="201" t="s">
        <v>223</v>
      </c>
      <c r="F8" s="201" t="s">
        <v>186</v>
      </c>
      <c r="G8" s="203" t="s">
        <v>224</v>
      </c>
      <c r="H8" s="406" t="e">
        <f t="shared" si="0"/>
        <v>#DIV/0!</v>
      </c>
      <c r="I8" s="406" t="e">
        <f t="shared" si="14"/>
        <v>#DIV/0!</v>
      </c>
      <c r="J8" s="406" t="e">
        <f t="shared" si="15"/>
        <v>#DIV/0!</v>
      </c>
      <c r="K8" s="406" t="e">
        <f t="shared" si="16"/>
        <v>#DIV/0!</v>
      </c>
      <c r="L8" s="204" t="e">
        <f>_xlfn.XLOOKUP(A8,'Raw Project Data'!$A$4:$A$10,'Raw Project Data'!$N$4:$N$10,"NA",0)/_xlfn.XLOOKUP(A8,'Raw Project Data'!$A$4:$A$10,'Raw Project Data'!$O$4:$O$10,"NA",0)</f>
        <v>#DIV/0!</v>
      </c>
      <c r="M8" s="204" t="e">
        <f>AVERAGE(_xlfn.XLOOKUP(A8,'Raw Project Data'!$A$4:$A$10,'Raw Project Data'!$AF$4:$AF$10,"NA",0),_xlfn.XLOOKUP(A8,'Raw Project Data'!$A$4:$A$10,'Raw Project Data'!$AG$4:$AG$10,"NA",0),_xlfn.XLOOKUP(A8,'Raw Project Data'!$A$4:$A$10,'Raw Project Data'!$AH$4:$AH$10,"NA",0),_xlfn.XLOOKUP(A8,'Raw Project Data'!$A$4:$A$10,'Raw Project Data'!$AI$4:$AI$10,"NA",0))/_xlfn.XLOOKUP(A8,'Raw Project Data'!$A$4:$A$10,'Raw Project Data'!$H$4:$H$10,"NA",0)</f>
        <v>#DIV/0!</v>
      </c>
      <c r="N8" s="204" t="e">
        <f>_xlfn.XLOOKUP(A8,'Raw Project Data'!$A$4:$A$10,'Raw Project Data'!$AZ$4:$AZ$10,"NA",0)/(_xlfn.XLOOKUP(A8,'Raw Project Data'!$A$4:$A$10,'Raw Project Data'!$BB$4:$BB$10,"NA",0)-_xlfn.XLOOKUP(A8,'Raw Project Data'!$A$4:$A$10,'Raw Project Data'!$BA$4:$BA$10,"NA",0))</f>
        <v>#DIV/0!</v>
      </c>
      <c r="O8" s="204" t="e">
        <f>IF(_xlfn.XLOOKUP(A8,'Raw Project Data'!$A$4:$A$10,'Raw Project Data'!$C$4:$C$10,"NA",0)="RRH","N/A",(_xlfn.XLOOKUP(A8,'Raw Project Data'!$A$4:$A$10,'Raw Project Data'!$CK$4:$CK$10,"NA",0)/(_xlfn.XLOOKUP(A8,'Raw Project Data'!$A$4:$A$10,'Raw Project Data'!$CM$4:$CM$10,"NA",0)-_xlfn.XLOOKUP(A8,'Raw Project Data'!$A$4:$A$10,'Raw Project Data'!$CL$4:$CL$10,"NA",0))))</f>
        <v>#DIV/0!</v>
      </c>
      <c r="P8" s="205" t="str">
        <f>IF((_xlfn.XLOOKUP(A8,'Raw Project Data'!$A$4:$A$10,'Raw Project Data'!$W$4:$W$10,"NA",0)+_xlfn.XLOOKUP(A8,'Raw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Data'!$AB$4:$AB$10,"NA",0))=0,"No Entries",_xlfn.XLOOKUP(A8,'Raw Project Data'!$A$4:$A$10,'Raw Project Data'!$CB$4:$CB$10,"NA",0))</f>
        <v>No Entries</v>
      </c>
      <c r="Q8" s="204" t="e">
        <f>(_xlfn.XLOOKUP(A8,'Raw Project Data'!$A$4:$A$10,'Raw Project Data'!$BL$4:$BL$10,"NA",0)+_xlfn.XLOOKUP(A8,'Raw Project Data'!$A$4:$A$10,'Raw Project Data'!$BN$4:$BN$10,"NA",0))/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R8" s="204" t="e">
        <f>(_xlfn.XLOOKUP(A8,'Raw Project Data'!$A$4:$A$10,'Raw Project Data'!$BM$4:$BM$10,"NA",0)+_xlfn.XLOOKUP(A8,'Raw Project Data'!$A$4:$A$10,'Raw Project Data'!$BO$4:$BO$10,"NA",0))/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S8" s="204" t="e">
        <f>(_xlfn.XLOOKUP(A8,'Raw Project Data'!$A$4:$A$10,'Raw Project Data'!$BH$4:$BH$10,"NA",0)+_xlfn.XLOOKUP(A8,'Raw Project Data'!$A$4:$A$10,'Raw Project Data'!$BI$4:$BI$10,"NA",0)+_xlfn.XLOOKUP(A8,'Raw Project Data'!$A$4:$A$10,'Raw Project Data'!$BJ$4:$BJ$10,"NA",0)+_xlfn.XLOOKUP(A8,'Raw Project Data'!$A$4:$A$10,'Raw Project Data'!$BK$4:$BK$10,"NA",0))/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T8" s="204" t="e">
        <f>(_xlfn.XLOOKUP(A8,'Raw Project Data'!$A$4:$A$10,'Raw Project Data'!$BP$4:$BP$10,"NA",0)+_xlfn.XLOOKUP(A8,'Raw Project Data'!$A$4:$A$10,'Raw Project Data'!$BQ$4:$BQ$10,"NA",0))/
(_xlfn.XLOOKUP(A8,'Raw Project Data'!$A$4:$A$10,'Raw Project Data'!$BT$4:$BT$10,"NA",0)+_xlfn.XLOOKUP(A8,'Raw Project Data'!$A$4:$A$10,'Raw Project Data'!$BU$4:$BU$10,"NA",0)-(_xlfn.XLOOKUP(A8,'Raw Project Data'!$A$4:$A$10,'Raw Project Data'!$BE$4:$BE$10,"NA",0)-_xlfn.XLOOKUP(A8,'Raw Project Data'!$A$4:$A$10,'Raw Project Data'!$BR$4:$BR$10,"NA",0)-_xlfn.XLOOKUP(A8,'Raw Project Data'!$A$4:$A$10,'Raw Project Data'!$BS$4:$BS$10,"NA",0)))</f>
        <v>#DIV/0!</v>
      </c>
      <c r="U8" s="206" t="str">
        <f>IF(_xlfn.XLOOKUP(A8,'Raw Project Data'!$A$4:$A$10,'Raw Project Data'!$C$4:$C$10,"NA",0)="PSH","N/A",
(_xlfn.XLOOKUP(A8,'Raw Project Data'!$A$4:$A$10,'Raw Project Data'!$BV$4:$BV$10,"NA",0)+_xlfn.XLOOKUP(A8,'Raw Project Data'!$A$4:$A$10,'Raw Project Data'!$BW$4:$BW$10,"NA",0)+_xlfn.XLOOKUP(A8,'Raw Project Data'!$A$4:$A$10,'Raw Project Data'!$BX$4:$BX$10,"NA",0)+_xlfn.XLOOKUP(A8,'Raw Project Data'!$A$4:$A$10,'Raw Project Data'!$BY$4:$BY$10,"NA",0))/
(_xlfn.XLOOKUP(A8,'Raw Project Data'!$A$4:$A$10,'Raw Project Data'!$BZ$4:$BZ$10,"NA",0)))</f>
        <v>N/A</v>
      </c>
      <c r="V8" s="204" t="e">
        <f>IF(_xlfn.XLOOKUP(A8,'Raw Project Data'!$A$4:$A$10,'Raw Project Data'!$C$4:$C$10,"NA",0)="RRH","N/A",
(_xlfn.XLOOKUP(A8,'Raw Project Data'!$A$4:$A$10,'Raw Project Data'!$CA$4:$CA$10,"NA",0)+_xlfn.XLOOKUP(A8,'Raw Project Data'!$A$4:$A$10,'Raw Project Data'!$CH$4:$CH$10,"NA",0))/
((_xlfn.XLOOKUP(A8,'Raw Project Data'!$A$4:$A$10,'Raw Project Data'!$CG$4:$CG$10,"NA",0)+_xlfn.XLOOKUP(A8,'Raw Project Data'!$A$4:$A$10,'Raw Project Data'!$CA$4:$CA$10,"NA",0))-(_xlfn.XLOOKUP(A8,'Raw Project Data'!$A$4:$A$10,'Raw Project Data'!$CI$4:$CI$10,"NA",0))))</f>
        <v>#DIV/0!</v>
      </c>
      <c r="W8" s="207" t="str">
        <f>IF(_xlfn.XLOOKUP(A8,'Raw Project Data'!$A$4:$A$10,'Raw Project Data'!$C$4:$C$10,"NA",0)="PSH","N/A",
IF(_xlfn.XLOOKUP(A8,'Raw Project Data'!$A$4:$A$10,'Raw Project Data'!$CG$4:$CG$10,"NA",0)=0,"No Exits",
_xlfn.XLOOKUP(A8,'Raw Project Data'!$A$4:$A$10,'Raw Project Data'!$CJ$4:$CJ$10,"NA",0)))</f>
        <v>N/A</v>
      </c>
      <c r="X8" s="204" t="str">
        <f>IF(_xlfn.XLOOKUP(A8,'Raw Project Data'!$A$4:$A$10,'Raw Project Data'!$CG$4:$CG$10,"NA",0)=0,"No Exits",
((_xlfn.XLOOKUP(A8,'Raw Project Data'!$A$4:$A$10,'Raw Project Data'!$CC$4:$CC$10,"NA",0)+_xlfn.XLOOKUP(A8,'Raw Project Data'!$A$4:$A$10,'Raw Project Data'!$CD$4:$CD$10,"NA",0)+_xlfn.XLOOKUP(A8,'Raw Project Data'!$A$4:$A$10,'Raw Project Data'!$CF$4:$CF$10,"NA",0))/
(_xlfn.XLOOKUP(A8,'Raw Project Data'!$A$4:$A$10,'Raw Project Data'!$CG$4:$CG$10,"NA",0))))</f>
        <v>No Exits</v>
      </c>
      <c r="Y8" s="204" t="str">
        <f>IF(_xlfn.XLOOKUP(A8,'Raw Project Data'!$A$4:$A$10,'Raw Project Data'!$Q$4:$Q$10,"NA",0)=0,"No PH Exits",
(_xlfn.XLOOKUP(A8,'Raw Project Data'!$A$4:$A$10,'Raw Project Data'!$P$4:$P$10,"NA",0)/_xlfn.XLOOKUP(A8,'Raw Project Data'!$A$4:$A$10,'Raw Project Data'!$Q$4:$Q$10,"NA",0)))</f>
        <v>No PH Exits</v>
      </c>
      <c r="Z8" s="204" t="str">
        <f>IF((_xlfn.XLOOKUP(A8,'Raw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Data'!$AB$4:$AB$10,"NA",0))=0,"No Entries",
(_xlfn.XLOOKUP(A8,'Raw Project Data'!$A$4:$A$10,'Raw Project Data'!$W$4:$W$10,"NA",0)+_xlfn.XLOOKUP(A8,'Raw Project Data'!$A$4:$A$10,'Raw Project Data'!$X$4:$X$10,"NA",0)+_xlfn.XLOOKUP(A8,'Raw Project Data'!$A$4:$A$10,'Raw Project Data'!$Y$4:$Y$10,"NA",0))/(_xlfn.XLOOKUP(A8,'Raw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f>
        <v>No Entries</v>
      </c>
      <c r="AA8" s="204">
        <f>_xlfn.XLOOKUP(A8,'Raw Project Data'!$A$4:$A$10,'Raw Project Data'!$J$4:$J$10,"NA",0)</f>
        <v>0</v>
      </c>
      <c r="AB8" s="208">
        <f>_xlfn.XLOOKUP(A8,'Raw Project Data'!$A$4:$A$10,'Raw Project Data'!$R$4:$R$10,"NA",0)</f>
        <v>0</v>
      </c>
      <c r="AC8" s="208">
        <f>_xlfn.XLOOKUP(A8,'Raw Project Data'!$A$4:$A$10,'Raw Project Data'!$S$4:$S$10,"NA",0)</f>
        <v>0</v>
      </c>
      <c r="AD8" s="208">
        <f>_xlfn.XLOOKUP(A8,'Raw Project Data'!$A$4:$A$10,'Raw Project Data'!$T$4:$T$10,"NA",0)</f>
        <v>0</v>
      </c>
      <c r="AE8" s="204" t="e">
        <f>(_xlfn.XLOOKUP(A8,'Raw Project Data'!$A$4:$A$10,'Raw Project Data'!$AN$4:$AN$10,"NA",0)+_xlfn.XLOOKUP(A8,'Raw Project Data'!$A$4:$A$10,'Raw Project Data'!$AO$4:$AO$10,"NA",0)+_xlfn.XLOOKUP(A8,'Raw Project Data'!$A$4:$A$10,'Raw Project Data'!$AP$4:$AP$10,"NA",0)+_xlfn.XLOOKUP(A8,'Raw Project Data'!$A$4:$A$10,'Raw Project Data'!$AQ$4:$AQ$10,"NA",0))/(_xlfn.XLOOKUP(A8,'Raw Project Data'!$A$4:$A$10,'Raw Project Data'!$AR$4:$AR$10,"NA",0)+_xlfn.XLOOKUP(A8,'Raw Project Data'!$A$4:$A$10,'Raw Project Data'!$AS$4:$AS$10,"NA",0)-_xlfn.XLOOKUP(A8,'Raw Project Data'!$A$4:$A$10,'Raw Project Data'!$AT$4:$AT$10,"NA",0)-_xlfn.XLOOKUP(A8,'Raw Project Data'!$A$4:$A$10,'Raw Project Data'!$AU$4:$AU$10,"NA",0))</f>
        <v>#DIV/0!</v>
      </c>
      <c r="AF8" s="206" t="e">
        <f>_xlfn.XLOOKUP(A8,'Raw Project Data'!$A$4:$A$10,'Raw Project Data'!$AV$4:$AV$10,"NA",0)/(_xlfn.XLOOKUP(A8,'Raw Project Data'!$A$4:$A$10,'Raw Project Data'!$AX$4:$AX$10,"NA",0)-_xlfn.XLOOKUP(A8,'Raw Project Data'!$A$4:$A$10,'Raw Project Data'!$AW$4:$AW$10,"NA",0))</f>
        <v>#DIV/0!</v>
      </c>
      <c r="AG8" s="206" t="e">
        <f>_xlfn.XLOOKUP(A8,'Raw Project Data'!$A$4:$A$10,'Raw Project Data'!$AY$4:$AY$10,"NA",0)/(_xlfn.XLOOKUP(A8,'Raw Project Data'!$A$4:$A$10,'Raw Project Data'!$BB$4:$BB$10,"NA",0)-_xlfn.XLOOKUP(A8,'Raw Project Data'!$A$4:$A$10,'Raw Project Data'!$BA$4:$BA$10,"NA",0))</f>
        <v>#DIV/0!</v>
      </c>
      <c r="AH8" s="206" t="e">
        <f>_xlfn.XLOOKUP(A8,'Raw Project Data'!$A$4:$A$10,'Raw Project Data'!$AJ$4:$AJ$10,"NA",0)/(_xlfn.XLOOKUP(A8,'Raw Project Data'!$A$4:$A$10,'Raw Project Data'!$V$4:$V$10,"NA",0)-_xlfn.XLOOKUP(A8,'Raw Project Data'!$A$4:$A$10,'Raw Project Data'!$AM$4:$AM$10,"NA",0))</f>
        <v>#DIV/0!</v>
      </c>
      <c r="AI8" s="206" t="e">
        <f>(_xlfn.XLOOKUP(A8,'Raw Project Data'!$A$4:$A$10,'Raw Project Data'!$AK$4:$AK$10,"NA",0)+_xlfn.XLOOKUP(A8,'Raw Project Data'!$A$4:$A$10,'Raw Project Data'!$AL$4:$AL$10,"NA",0))/(_xlfn.XLOOKUP(A8,'Raw Project Data'!$A$4:$A$10,'Raw Project Data'!$V$4:$V$10,"NA",0)-_xlfn.XLOOKUP(A8,'Raw Project Data'!$A$4:$A$10,'Raw Project Data'!$AM$4:$AM$10,"NA",0))</f>
        <v>#DIV/0!</v>
      </c>
      <c r="AJ8" s="197"/>
      <c r="AK8" s="209" t="e">
        <f t="shared" si="1"/>
        <v>#DIV/0!</v>
      </c>
      <c r="AL8" s="209" t="e">
        <f t="shared" si="2"/>
        <v>#DIV/0!</v>
      </c>
      <c r="AM8" s="209" t="e">
        <f t="shared" si="3"/>
        <v>#DIV/0!</v>
      </c>
      <c r="AN8" s="209" t="e">
        <f t="shared" si="17"/>
        <v>#DIV/0!</v>
      </c>
      <c r="AO8" s="209" t="str">
        <f t="shared" si="18"/>
        <v>N/A</v>
      </c>
      <c r="AP8" s="209" t="e">
        <f t="shared" si="4"/>
        <v>#DIV/0!</v>
      </c>
      <c r="AQ8" s="209" t="e">
        <f t="shared" si="5"/>
        <v>#DIV/0!</v>
      </c>
      <c r="AR8" s="209" t="e">
        <f t="shared" si="6"/>
        <v>#DIV/0!</v>
      </c>
      <c r="AS8" s="209" t="e">
        <f t="shared" si="7"/>
        <v>#DIV/0!</v>
      </c>
      <c r="AT8" s="210" t="str">
        <f t="shared" si="19"/>
        <v>N/A</v>
      </c>
      <c r="AU8" s="210" t="e">
        <f t="shared" si="20"/>
        <v>#DIV/0!</v>
      </c>
      <c r="AV8" s="210" t="str">
        <f t="shared" si="21"/>
        <v>N/A</v>
      </c>
      <c r="AW8" s="210" t="str">
        <f t="shared" si="22"/>
        <v>N/A</v>
      </c>
      <c r="AX8" s="210" t="str">
        <f t="shared" si="23"/>
        <v>N/A</v>
      </c>
      <c r="AY8" s="210" t="str">
        <f t="shared" si="8"/>
        <v>N/A</v>
      </c>
      <c r="AZ8" s="210">
        <f t="shared" si="9"/>
        <v>0</v>
      </c>
      <c r="BA8" s="210">
        <f t="shared" si="10"/>
        <v>0</v>
      </c>
      <c r="BB8" s="210">
        <f t="shared" si="24"/>
        <v>0</v>
      </c>
      <c r="BC8" s="210">
        <f t="shared" si="25"/>
        <v>0</v>
      </c>
      <c r="BD8" s="211" t="e">
        <f t="shared" si="26"/>
        <v>#DIV/0!</v>
      </c>
      <c r="BE8" s="211" t="e">
        <f t="shared" si="27"/>
        <v>#DIV/0!</v>
      </c>
      <c r="BF8" s="211" t="e">
        <f t="shared" si="28"/>
        <v>#DIV/0!</v>
      </c>
      <c r="BG8" s="211" t="e">
        <f t="shared" si="29"/>
        <v>#DIV/0!</v>
      </c>
      <c r="BH8" s="211" t="e">
        <f t="shared" si="30"/>
        <v>#DIV/0!</v>
      </c>
      <c r="BI8" s="197"/>
      <c r="BJ8" s="209" t="e">
        <f t="shared" si="31"/>
        <v>#DIV/0!</v>
      </c>
      <c r="BK8" s="209" t="e">
        <f t="shared" si="32"/>
        <v>#DIV/0!</v>
      </c>
      <c r="BL8" s="209" t="e">
        <f t="shared" si="33"/>
        <v>#DIV/0!</v>
      </c>
      <c r="BM8" s="209" t="e">
        <f t="shared" si="34"/>
        <v>#DIV/0!</v>
      </c>
      <c r="BN8" s="209">
        <f t="shared" si="35"/>
        <v>0</v>
      </c>
      <c r="BO8" s="209" t="e">
        <f t="shared" si="36"/>
        <v>#DIV/0!</v>
      </c>
      <c r="BP8" s="209" t="e">
        <f t="shared" si="37"/>
        <v>#DIV/0!</v>
      </c>
      <c r="BQ8" s="209" t="e">
        <f t="shared" si="38"/>
        <v>#DIV/0!</v>
      </c>
      <c r="BR8" s="209" t="e">
        <f t="shared" si="39"/>
        <v>#DIV/0!</v>
      </c>
      <c r="BS8" s="210">
        <f t="shared" si="40"/>
        <v>0</v>
      </c>
      <c r="BT8" s="210" t="e">
        <f t="shared" si="41"/>
        <v>#DIV/0!</v>
      </c>
      <c r="BU8" s="210">
        <f t="shared" si="42"/>
        <v>0</v>
      </c>
      <c r="BV8" s="210">
        <f t="shared" si="43"/>
        <v>0</v>
      </c>
      <c r="BW8" s="210">
        <f t="shared" si="44"/>
        <v>0</v>
      </c>
      <c r="BX8" s="210">
        <f t="shared" si="45"/>
        <v>0</v>
      </c>
      <c r="BY8" s="210">
        <f t="shared" si="46"/>
        <v>5</v>
      </c>
      <c r="BZ8" s="210">
        <f t="shared" si="47"/>
        <v>5</v>
      </c>
      <c r="CA8" s="210">
        <f t="shared" si="48"/>
        <v>2</v>
      </c>
      <c r="CB8" s="210">
        <f t="shared" si="49"/>
        <v>3</v>
      </c>
      <c r="CC8" s="210">
        <v>0</v>
      </c>
      <c r="CD8" s="210">
        <v>0</v>
      </c>
      <c r="CE8" s="210">
        <v>0</v>
      </c>
      <c r="CF8" s="210">
        <v>0</v>
      </c>
      <c r="CG8" s="210">
        <v>0</v>
      </c>
    </row>
    <row r="9" spans="1:85" s="46" customFormat="1" ht="12.75" x14ac:dyDescent="0.25">
      <c r="A9" s="201" t="s">
        <v>176</v>
      </c>
      <c r="B9" s="201" t="s">
        <v>183</v>
      </c>
      <c r="C9" s="202" t="s">
        <v>11</v>
      </c>
      <c r="D9" s="202" t="str">
        <f>_xlfn.XLOOKUP(A9,'Raw Project Data'!$A$4:$A$10,'Raw Project Data'!$G$4:$G$10,"Not Found",0)</f>
        <v>Tenant-Based</v>
      </c>
      <c r="E9" s="201" t="s">
        <v>225</v>
      </c>
      <c r="F9" s="201" t="s">
        <v>187</v>
      </c>
      <c r="G9" s="203" t="s">
        <v>226</v>
      </c>
      <c r="H9" s="406" t="e">
        <f t="shared" si="0"/>
        <v>#DIV/0!</v>
      </c>
      <c r="I9" s="406" t="e">
        <f t="shared" si="14"/>
        <v>#DIV/0!</v>
      </c>
      <c r="J9" s="406" t="e">
        <f t="shared" si="15"/>
        <v>#DIV/0!</v>
      </c>
      <c r="K9" s="406" t="e">
        <f t="shared" si="16"/>
        <v>#DIV/0!</v>
      </c>
      <c r="L9" s="204" t="e">
        <f>_xlfn.XLOOKUP(A9,'Raw Project Data'!$A$4:$A$10,'Raw Project Data'!$N$4:$N$10,"NA",0)/_xlfn.XLOOKUP(A9,'Raw Project Data'!$A$4:$A$10,'Raw Project Data'!$O$4:$O$10,"NA",0)</f>
        <v>#DIV/0!</v>
      </c>
      <c r="M9" s="204" t="e">
        <f>AVERAGE(_xlfn.XLOOKUP(A9,'Raw Project Data'!$A$4:$A$10,'Raw Project Data'!$AF$4:$AF$10,"NA",0),_xlfn.XLOOKUP(A9,'Raw Project Data'!$A$4:$A$10,'Raw Project Data'!$AG$4:$AG$10,"NA",0),_xlfn.XLOOKUP(A9,'Raw Project Data'!$A$4:$A$10,'Raw Project Data'!$AH$4:$AH$10,"NA",0),_xlfn.XLOOKUP(A9,'Raw Project Data'!$A$4:$A$10,'Raw Project Data'!$AI$4:$AI$10,"NA",0))/_xlfn.XLOOKUP(A9,'Raw Project Data'!$A$4:$A$10,'Raw Project Data'!$H$4:$H$10,"NA",0)</f>
        <v>#DIV/0!</v>
      </c>
      <c r="N9" s="204" t="e">
        <f>_xlfn.XLOOKUP(A9,'Raw Project Data'!$A$4:$A$10,'Raw Project Data'!$AZ$4:$AZ$10,"NA",0)/(_xlfn.XLOOKUP(A9,'Raw Project Data'!$A$4:$A$10,'Raw Project Data'!$BB$4:$BB$10,"NA",0)-_xlfn.XLOOKUP(A9,'Raw Project Data'!$A$4:$A$10,'Raw Project Data'!$BA$4:$BA$10,"NA",0))</f>
        <v>#DIV/0!</v>
      </c>
      <c r="O9" s="204" t="str">
        <f>IF(_xlfn.XLOOKUP(A9,'Raw Project Data'!$A$4:$A$10,'Raw Project Data'!$C$4:$C$10,"NA",0)="RRH","N/A",(_xlfn.XLOOKUP(A9,'Raw Project Data'!$A$4:$A$10,'Raw Project Data'!$CK$4:$CK$10,"NA",0)/(_xlfn.XLOOKUP(A9,'Raw Project Data'!$A$4:$A$10,'Raw Project Data'!$CM$4:$CM$10,"NA",0)-_xlfn.XLOOKUP(A9,'Raw Project Data'!$A$4:$A$10,'Raw Project Data'!$CL$4:$CL$10,"NA",0))))</f>
        <v>N/A</v>
      </c>
      <c r="P9" s="205" t="str">
        <f>IF((_xlfn.XLOOKUP(A9,'Raw Project Data'!$A$4:$A$10,'Raw Project Data'!$W$4:$W$10,"NA",0)+_xlfn.XLOOKUP(A9,'Raw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Data'!$AB$4:$AB$10,"NA",0))=0,"No Entries",_xlfn.XLOOKUP(A9,'Raw Project Data'!$A$4:$A$10,'Raw Project Data'!$CB$4:$CB$10,"NA",0))</f>
        <v>No Entries</v>
      </c>
      <c r="Q9" s="204" t="e">
        <f>(_xlfn.XLOOKUP(A9,'Raw Project Data'!$A$4:$A$10,'Raw Project Data'!$BL$4:$BL$10,"NA",0)+_xlfn.XLOOKUP(A9,'Raw Project Data'!$A$4:$A$10,'Raw Project Data'!$BN$4:$BN$10,"NA",0))/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R9" s="204" t="e">
        <f>(_xlfn.XLOOKUP(A9,'Raw Project Data'!$A$4:$A$10,'Raw Project Data'!$BM$4:$BM$10,"NA",0)+_xlfn.XLOOKUP(A9,'Raw Project Data'!$A$4:$A$10,'Raw Project Data'!$BO$4:$BO$10,"NA",0))/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S9" s="204" t="e">
        <f>(_xlfn.XLOOKUP(A9,'Raw Project Data'!$A$4:$A$10,'Raw Project Data'!$BH$4:$BH$10,"NA",0)+_xlfn.XLOOKUP(A9,'Raw Project Data'!$A$4:$A$10,'Raw Project Data'!$BI$4:$BI$10,"NA",0)+_xlfn.XLOOKUP(A9,'Raw Project Data'!$A$4:$A$10,'Raw Project Data'!$BJ$4:$BJ$10,"NA",0)+_xlfn.XLOOKUP(A9,'Raw Project Data'!$A$4:$A$10,'Raw Project Data'!$BK$4:$BK$10,"NA",0))/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T9" s="204" t="e">
        <f>(_xlfn.XLOOKUP(A9,'Raw Project Data'!$A$4:$A$10,'Raw Project Data'!$BP$4:$BP$10,"NA",0)+_xlfn.XLOOKUP(A9,'Raw Project Data'!$A$4:$A$10,'Raw Project Data'!$BQ$4:$BQ$10,"NA",0))/
(_xlfn.XLOOKUP(A9,'Raw Project Data'!$A$4:$A$10,'Raw Project Data'!$BT$4:$BT$10,"NA",0)+_xlfn.XLOOKUP(A9,'Raw Project Data'!$A$4:$A$10,'Raw Project Data'!$BU$4:$BU$10,"NA",0)-(_xlfn.XLOOKUP(A9,'Raw Project Data'!$A$4:$A$10,'Raw Project Data'!$BE$4:$BE$10,"NA",0)-_xlfn.XLOOKUP(A9,'Raw Project Data'!$A$4:$A$10,'Raw Project Data'!$BR$4:$BR$10,"NA",0)-_xlfn.XLOOKUP(A9,'Raw Project Data'!$A$4:$A$10,'Raw Project Data'!$BS$4:$BS$10,"NA",0)))</f>
        <v>#DIV/0!</v>
      </c>
      <c r="U9" s="206" t="e">
        <f>IF(_xlfn.XLOOKUP(A9,'Raw Project Data'!$A$4:$A$10,'Raw Project Data'!$C$4:$C$10,"NA",0)="PSH","N/A",
(_xlfn.XLOOKUP(A9,'Raw Project Data'!$A$4:$A$10,'Raw Project Data'!$BV$4:$BV$10,"NA",0)+_xlfn.XLOOKUP(A9,'Raw Project Data'!$A$4:$A$10,'Raw Project Data'!$BW$4:$BW$10,"NA",0)+_xlfn.XLOOKUP(A9,'Raw Project Data'!$A$4:$A$10,'Raw Project Data'!$BX$4:$BX$10,"NA",0)+_xlfn.XLOOKUP(A9,'Raw Project Data'!$A$4:$A$10,'Raw Project Data'!$BY$4:$BY$10,"NA",0))/
(_xlfn.XLOOKUP(A9,'Raw Project Data'!$A$4:$A$10,'Raw Project Data'!$BZ$4:$BZ$10,"NA",0)))</f>
        <v>#DIV/0!</v>
      </c>
      <c r="V9" s="204" t="str">
        <f>IF(_xlfn.XLOOKUP(A9,'Raw Project Data'!$A$4:$A$10,'Raw Project Data'!$C$4:$C$10,"NA",0)="RRH","N/A",
(_xlfn.XLOOKUP(A9,'Raw Project Data'!$A$4:$A$10,'Raw Project Data'!$CA$4:$CA$10,"NA",0)+_xlfn.XLOOKUP(A9,'Raw Project Data'!$A$4:$A$10,'Raw Project Data'!$CH$4:$CH$10,"NA",0))/
((_xlfn.XLOOKUP(A9,'Raw Project Data'!$A$4:$A$10,'Raw Project Data'!$CG$4:$CG$10,"NA",0)+_xlfn.XLOOKUP(A9,'Raw Project Data'!$A$4:$A$10,'Raw Project Data'!$CA$4:$CA$10,"NA",0))-(_xlfn.XLOOKUP(A9,'Raw Project Data'!$A$4:$A$10,'Raw Project Data'!$CI$4:$CI$10,"NA",0))))</f>
        <v>N/A</v>
      </c>
      <c r="W9" s="207" t="str">
        <f>IF(_xlfn.XLOOKUP(A9,'Raw Project Data'!$A$4:$A$10,'Raw Project Data'!$C$4:$C$10,"NA",0)="PSH","N/A",
IF(_xlfn.XLOOKUP(A9,'Raw Project Data'!$A$4:$A$10,'Raw Project Data'!$CG$4:$CG$10,"NA",0)=0,"No Exits",
_xlfn.XLOOKUP(A9,'Raw Project Data'!$A$4:$A$10,'Raw Project Data'!$CJ$4:$CJ$10,"NA",0)))</f>
        <v>No Exits</v>
      </c>
      <c r="X9" s="204" t="str">
        <f>IF(_xlfn.XLOOKUP(A9,'Raw Project Data'!$A$4:$A$10,'Raw Project Data'!$CG$4:$CG$10,"NA",0)=0,"No Exits",
((_xlfn.XLOOKUP(A9,'Raw Project Data'!$A$4:$A$10,'Raw Project Data'!$CC$4:$CC$10,"NA",0)+_xlfn.XLOOKUP(A9,'Raw Project Data'!$A$4:$A$10,'Raw Project Data'!$CD$4:$CD$10,"NA",0)+_xlfn.XLOOKUP(A9,'Raw Project Data'!$A$4:$A$10,'Raw Project Data'!$CF$4:$CF$10,"NA",0))/
(_xlfn.XLOOKUP(A9,'Raw Project Data'!$A$4:$A$10,'Raw Project Data'!$CG$4:$CG$10,"NA",0))))</f>
        <v>No Exits</v>
      </c>
      <c r="Y9" s="204" t="str">
        <f>IF(_xlfn.XLOOKUP(A9,'Raw Project Data'!$A$4:$A$10,'Raw Project Data'!$Q$4:$Q$10,"NA",0)=0,"No PH Exits",
(_xlfn.XLOOKUP(A9,'Raw Project Data'!$A$4:$A$10,'Raw Project Data'!$P$4:$P$10,"NA",0)/_xlfn.XLOOKUP(A9,'Raw Project Data'!$A$4:$A$10,'Raw Project Data'!$Q$4:$Q$10,"NA",0)))</f>
        <v>No PH Exits</v>
      </c>
      <c r="Z9" s="204" t="str">
        <f>IF((_xlfn.XLOOKUP(A9,'Raw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Data'!$AB$4:$AB$10,"NA",0))=0,"No Entries",
(_xlfn.XLOOKUP(A9,'Raw Project Data'!$A$4:$A$10,'Raw Project Data'!$W$4:$W$10,"NA",0)+_xlfn.XLOOKUP(A9,'Raw Project Data'!$A$4:$A$10,'Raw Project Data'!$X$4:$X$10,"NA",0)+_xlfn.XLOOKUP(A9,'Raw Project Data'!$A$4:$A$10,'Raw Project Data'!$Y$4:$Y$10,"NA",0))/(_xlfn.XLOOKUP(A9,'Raw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f>
        <v>No Entries</v>
      </c>
      <c r="AA9" s="204">
        <f>_xlfn.XLOOKUP(A9,'Raw Project Data'!$A$4:$A$10,'Raw Project Data'!$J$4:$J$10,"NA",0)</f>
        <v>0</v>
      </c>
      <c r="AB9" s="208">
        <f>_xlfn.XLOOKUP(A9,'Raw Project Data'!$A$4:$A$10,'Raw Project Data'!$R$4:$R$10,"NA",0)</f>
        <v>0</v>
      </c>
      <c r="AC9" s="208">
        <f>_xlfn.XLOOKUP(A9,'Raw Project Data'!$A$4:$A$10,'Raw Project Data'!$S$4:$S$10,"NA",0)</f>
        <v>0</v>
      </c>
      <c r="AD9" s="208">
        <f>_xlfn.XLOOKUP(A9,'Raw Project Data'!$A$4:$A$10,'Raw Project Data'!$T$4:$T$10,"NA",0)</f>
        <v>0</v>
      </c>
      <c r="AE9" s="204" t="e">
        <f>(_xlfn.XLOOKUP(A9,'Raw Project Data'!$A$4:$A$10,'Raw Project Data'!$AN$4:$AN$10,"NA",0)+_xlfn.XLOOKUP(A9,'Raw Project Data'!$A$4:$A$10,'Raw Project Data'!$AO$4:$AO$10,"NA",0)+_xlfn.XLOOKUP(A9,'Raw Project Data'!$A$4:$A$10,'Raw Project Data'!$AP$4:$AP$10,"NA",0)+_xlfn.XLOOKUP(A9,'Raw Project Data'!$A$4:$A$10,'Raw Project Data'!$AQ$4:$AQ$10,"NA",0))/(_xlfn.XLOOKUP(A9,'Raw Project Data'!$A$4:$A$10,'Raw Project Data'!$AR$4:$AR$10,"NA",0)+_xlfn.XLOOKUP(A9,'Raw Project Data'!$A$4:$A$10,'Raw Project Data'!$AS$4:$AS$10,"NA",0)-_xlfn.XLOOKUP(A9,'Raw Project Data'!$A$4:$A$10,'Raw Project Data'!$AT$4:$AT$10,"NA",0)-_xlfn.XLOOKUP(A9,'Raw Project Data'!$A$4:$A$10,'Raw Project Data'!$AU$4:$AU$10,"NA",0))</f>
        <v>#DIV/0!</v>
      </c>
      <c r="AF9" s="206" t="e">
        <f>_xlfn.XLOOKUP(A9,'Raw Project Data'!$A$4:$A$10,'Raw Project Data'!$AV$4:$AV$10,"NA",0)/(_xlfn.XLOOKUP(A9,'Raw Project Data'!$A$4:$A$10,'Raw Project Data'!$AX$4:$AX$10,"NA",0)-_xlfn.XLOOKUP(A9,'Raw Project Data'!$A$4:$A$10,'Raw Project Data'!$AW$4:$AW$10,"NA",0))</f>
        <v>#DIV/0!</v>
      </c>
      <c r="AG9" s="206" t="e">
        <f>_xlfn.XLOOKUP(A9,'Raw Project Data'!$A$4:$A$10,'Raw Project Data'!$AY$4:$AY$10,"NA",0)/(_xlfn.XLOOKUP(A9,'Raw Project Data'!$A$4:$A$10,'Raw Project Data'!$BB$4:$BB$10,"NA",0)-_xlfn.XLOOKUP(A9,'Raw Project Data'!$A$4:$A$10,'Raw Project Data'!$BA$4:$BA$10,"NA",0))</f>
        <v>#DIV/0!</v>
      </c>
      <c r="AH9" s="206" t="e">
        <f>_xlfn.XLOOKUP(A9,'Raw Project Data'!$A$4:$A$10,'Raw Project Data'!$AJ$4:$AJ$10,"NA",0)/(_xlfn.XLOOKUP(A9,'Raw Project Data'!$A$4:$A$10,'Raw Project Data'!$V$4:$V$10,"NA",0)-_xlfn.XLOOKUP(A9,'Raw Project Data'!$A$4:$A$10,'Raw Project Data'!$AM$4:$AM$10,"NA",0))</f>
        <v>#DIV/0!</v>
      </c>
      <c r="AI9" s="206" t="e">
        <f>(_xlfn.XLOOKUP(A9,'Raw Project Data'!$A$4:$A$10,'Raw Project Data'!$AK$4:$AK$10,"NA",0)+_xlfn.XLOOKUP(A9,'Raw Project Data'!$A$4:$A$10,'Raw Project Data'!$AL$4:$AL$10,"NA",0))/(_xlfn.XLOOKUP(A9,'Raw Project Data'!$A$4:$A$10,'Raw Project Data'!$V$4:$V$10,"NA",0)-_xlfn.XLOOKUP(A9,'Raw Project Data'!$A$4:$A$10,'Raw Project Data'!$AM$4:$AM$10,"NA",0))</f>
        <v>#DIV/0!</v>
      </c>
      <c r="AJ9" s="197"/>
      <c r="AK9" s="209" t="e">
        <f t="shared" si="1"/>
        <v>#DIV/0!</v>
      </c>
      <c r="AL9" s="209" t="e">
        <f t="shared" si="2"/>
        <v>#DIV/0!</v>
      </c>
      <c r="AM9" s="209" t="e">
        <f t="shared" si="3"/>
        <v>#DIV/0!</v>
      </c>
      <c r="AN9" s="209" t="str">
        <f t="shared" si="17"/>
        <v>N/A</v>
      </c>
      <c r="AO9" s="209" t="str">
        <f t="shared" si="18"/>
        <v>N/A</v>
      </c>
      <c r="AP9" s="209" t="e">
        <f t="shared" si="4"/>
        <v>#DIV/0!</v>
      </c>
      <c r="AQ9" s="209" t="e">
        <f t="shared" si="5"/>
        <v>#DIV/0!</v>
      </c>
      <c r="AR9" s="209" t="e">
        <f t="shared" si="6"/>
        <v>#DIV/0!</v>
      </c>
      <c r="AS9" s="209" t="e">
        <f t="shared" si="7"/>
        <v>#DIV/0!</v>
      </c>
      <c r="AT9" s="210" t="e">
        <f t="shared" si="19"/>
        <v>#DIV/0!</v>
      </c>
      <c r="AU9" s="210" t="str">
        <f t="shared" si="20"/>
        <v>N/A</v>
      </c>
      <c r="AV9" s="210" t="str">
        <f t="shared" si="21"/>
        <v>N/A</v>
      </c>
      <c r="AW9" s="210" t="str">
        <f t="shared" si="22"/>
        <v>N/A</v>
      </c>
      <c r="AX9" s="210" t="str">
        <f t="shared" si="23"/>
        <v>N/A</v>
      </c>
      <c r="AY9" s="210" t="str">
        <f t="shared" si="8"/>
        <v>N/A</v>
      </c>
      <c r="AZ9" s="210">
        <f t="shared" si="9"/>
        <v>0</v>
      </c>
      <c r="BA9" s="210">
        <f t="shared" si="10"/>
        <v>0</v>
      </c>
      <c r="BB9" s="210">
        <f t="shared" si="24"/>
        <v>0</v>
      </c>
      <c r="BC9" s="210">
        <f t="shared" si="25"/>
        <v>0</v>
      </c>
      <c r="BD9" s="211" t="e">
        <f t="shared" si="26"/>
        <v>#DIV/0!</v>
      </c>
      <c r="BE9" s="211" t="e">
        <f t="shared" si="27"/>
        <v>#DIV/0!</v>
      </c>
      <c r="BF9" s="211" t="e">
        <f t="shared" si="28"/>
        <v>#DIV/0!</v>
      </c>
      <c r="BG9" s="211" t="e">
        <f t="shared" si="29"/>
        <v>#DIV/0!</v>
      </c>
      <c r="BH9" s="211" t="e">
        <f t="shared" si="30"/>
        <v>#DIV/0!</v>
      </c>
      <c r="BI9" s="197"/>
      <c r="BJ9" s="209" t="e">
        <f t="shared" si="31"/>
        <v>#DIV/0!</v>
      </c>
      <c r="BK9" s="209" t="e">
        <f t="shared" si="32"/>
        <v>#DIV/0!</v>
      </c>
      <c r="BL9" s="209" t="e">
        <f t="shared" si="33"/>
        <v>#DIV/0!</v>
      </c>
      <c r="BM9" s="209">
        <f t="shared" si="34"/>
        <v>0</v>
      </c>
      <c r="BN9" s="209">
        <f t="shared" si="35"/>
        <v>0</v>
      </c>
      <c r="BO9" s="209" t="e">
        <f t="shared" si="36"/>
        <v>#DIV/0!</v>
      </c>
      <c r="BP9" s="209" t="e">
        <f t="shared" si="37"/>
        <v>#DIV/0!</v>
      </c>
      <c r="BQ9" s="209" t="e">
        <f t="shared" si="38"/>
        <v>#DIV/0!</v>
      </c>
      <c r="BR9" s="209" t="e">
        <f t="shared" si="39"/>
        <v>#DIV/0!</v>
      </c>
      <c r="BS9" s="210" t="e">
        <f t="shared" si="40"/>
        <v>#DIV/0!</v>
      </c>
      <c r="BT9" s="210">
        <f t="shared" si="41"/>
        <v>0</v>
      </c>
      <c r="BU9" s="210">
        <f t="shared" si="42"/>
        <v>0</v>
      </c>
      <c r="BV9" s="210">
        <f t="shared" si="43"/>
        <v>0</v>
      </c>
      <c r="BW9" s="210">
        <f t="shared" si="44"/>
        <v>0</v>
      </c>
      <c r="BX9" s="210">
        <f t="shared" si="45"/>
        <v>0</v>
      </c>
      <c r="BY9" s="210">
        <f t="shared" si="46"/>
        <v>5</v>
      </c>
      <c r="BZ9" s="210">
        <f t="shared" si="47"/>
        <v>5</v>
      </c>
      <c r="CA9" s="210">
        <f t="shared" si="48"/>
        <v>2</v>
      </c>
      <c r="CB9" s="210">
        <f t="shared" si="49"/>
        <v>3</v>
      </c>
      <c r="CC9" s="210">
        <v>0</v>
      </c>
      <c r="CD9" s="210">
        <v>0</v>
      </c>
      <c r="CE9" s="210">
        <v>0</v>
      </c>
      <c r="CF9" s="210">
        <v>0</v>
      </c>
      <c r="CG9" s="210">
        <v>0</v>
      </c>
    </row>
    <row r="10" spans="1:85" s="46" customFormat="1" ht="12.75" x14ac:dyDescent="0.25">
      <c r="A10" s="201" t="s">
        <v>142</v>
      </c>
      <c r="B10" s="201" t="s">
        <v>183</v>
      </c>
      <c r="C10" s="202" t="s">
        <v>10</v>
      </c>
      <c r="D10" s="202" t="str">
        <f>_xlfn.XLOOKUP(A10,'Raw Project Data'!$A$4:$A$10,'Raw Project Data'!$G$4:$G$10,"Not Found",0)</f>
        <v>Site-Based</v>
      </c>
      <c r="E10" s="201" t="s">
        <v>227</v>
      </c>
      <c r="F10" s="201" t="s">
        <v>188</v>
      </c>
      <c r="G10" s="203" t="s">
        <v>228</v>
      </c>
      <c r="H10" s="406" t="e">
        <f t="shared" si="0"/>
        <v>#DIV/0!</v>
      </c>
      <c r="I10" s="406" t="e">
        <f t="shared" si="14"/>
        <v>#DIV/0!</v>
      </c>
      <c r="J10" s="406" t="e">
        <f t="shared" si="15"/>
        <v>#DIV/0!</v>
      </c>
      <c r="K10" s="406" t="e">
        <f t="shared" si="16"/>
        <v>#DIV/0!</v>
      </c>
      <c r="L10" s="204" t="e">
        <f>_xlfn.XLOOKUP(A10,'Raw Project Data'!$A$4:$A$10,'Raw Project Data'!$N$4:$N$10,"NA",0)/_xlfn.XLOOKUP(A10,'Raw Project Data'!$A$4:$A$10,'Raw Project Data'!$O$4:$O$10,"NA",0)</f>
        <v>#DIV/0!</v>
      </c>
      <c r="M10" s="204" t="e">
        <f>AVERAGE(_xlfn.XLOOKUP(A10,'Raw Project Data'!$A$4:$A$10,'Raw Project Data'!$AF$4:$AF$10,"NA",0),_xlfn.XLOOKUP(A10,'Raw Project Data'!$A$4:$A$10,'Raw Project Data'!$AG$4:$AG$10,"NA",0),_xlfn.XLOOKUP(A10,'Raw Project Data'!$A$4:$A$10,'Raw Project Data'!$AH$4:$AH$10,"NA",0),_xlfn.XLOOKUP(A10,'Raw Project Data'!$A$4:$A$10,'Raw Project Data'!$AI$4:$AI$10,"NA",0))/_xlfn.XLOOKUP(A10,'Raw Project Data'!$A$4:$A$10,'Raw Project Data'!$H$4:$H$10,"NA",0)</f>
        <v>#DIV/0!</v>
      </c>
      <c r="N10" s="204" t="e">
        <f>_xlfn.XLOOKUP(A10,'Raw Project Data'!$A$4:$A$10,'Raw Project Data'!$AZ$4:$AZ$10,"NA",0)/(_xlfn.XLOOKUP(A10,'Raw Project Data'!$A$4:$A$10,'Raw Project Data'!$BB$4:$BB$10,"NA",0)-_xlfn.XLOOKUP(A10,'Raw Project Data'!$A$4:$A$10,'Raw Project Data'!$BA$4:$BA$10,"NA",0))</f>
        <v>#DIV/0!</v>
      </c>
      <c r="O10" s="204" t="e">
        <f>IF(_xlfn.XLOOKUP(A10,'Raw Project Data'!$A$4:$A$10,'Raw Project Data'!$C$4:$C$10,"NA",0)="RRH","N/A",(_xlfn.XLOOKUP(A10,'Raw Project Data'!$A$4:$A$10,'Raw Project Data'!$CK$4:$CK$10,"NA",0)/(_xlfn.XLOOKUP(A10,'Raw Project Data'!$A$4:$A$10,'Raw Project Data'!$CM$4:$CM$10,"NA",0)-_xlfn.XLOOKUP(A10,'Raw Project Data'!$A$4:$A$10,'Raw Project Data'!$CL$4:$CL$10,"NA",0))))</f>
        <v>#DIV/0!</v>
      </c>
      <c r="P10" s="205" t="str">
        <f>IF((_xlfn.XLOOKUP(A10,'Raw Project Data'!$A$4:$A$10,'Raw Project Data'!$W$4:$W$10,"NA",0)+_xlfn.XLOOKUP(A10,'Raw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Data'!$AB$4:$AB$10,"NA",0))=0,"No Entries",_xlfn.XLOOKUP(A10,'Raw Project Data'!$A$4:$A$10,'Raw Project Data'!$CB$4:$CB$10,"NA",0))</f>
        <v>No Entries</v>
      </c>
      <c r="Q10" s="204" t="e">
        <f>(_xlfn.XLOOKUP(A10,'Raw Project Data'!$A$4:$A$10,'Raw Project Data'!$BL$4:$BL$10,"NA",0)+_xlfn.XLOOKUP(A10,'Raw Project Data'!$A$4:$A$10,'Raw Project Data'!$BN$4:$BN$10,"NA",0))/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R10" s="204" t="e">
        <f>(_xlfn.XLOOKUP(A10,'Raw Project Data'!$A$4:$A$10,'Raw Project Data'!$BM$4:$BM$10,"NA",0)+_xlfn.XLOOKUP(A10,'Raw Project Data'!$A$4:$A$10,'Raw Project Data'!$BO$4:$BO$10,"NA",0))/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S10" s="204" t="e">
        <f>(_xlfn.XLOOKUP(A10,'Raw Project Data'!$A$4:$A$10,'Raw Project Data'!$BH$4:$BH$10,"NA",0)+_xlfn.XLOOKUP(A10,'Raw Project Data'!$A$4:$A$10,'Raw Project Data'!$BI$4:$BI$10,"NA",0)+_xlfn.XLOOKUP(A10,'Raw Project Data'!$A$4:$A$10,'Raw Project Data'!$BJ$4:$BJ$10,"NA",0)+_xlfn.XLOOKUP(A10,'Raw Project Data'!$A$4:$A$10,'Raw Project Data'!$BK$4:$BK$10,"NA",0))/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T10" s="204" t="e">
        <f>(_xlfn.XLOOKUP(A10,'Raw Project Data'!$A$4:$A$10,'Raw Project Data'!$BP$4:$BP$10,"NA",0)+_xlfn.XLOOKUP(A10,'Raw Project Data'!$A$4:$A$10,'Raw Project Data'!$BQ$4:$BQ$10,"NA",0))/
(_xlfn.XLOOKUP(A10,'Raw Project Data'!$A$4:$A$10,'Raw Project Data'!$BT$4:$BT$10,"NA",0)+_xlfn.XLOOKUP(A10,'Raw Project Data'!$A$4:$A$10,'Raw Project Data'!$BU$4:$BU$10,"NA",0)-(_xlfn.XLOOKUP(A10,'Raw Project Data'!$A$4:$A$10,'Raw Project Data'!$BE$4:$BE$10,"NA",0)-_xlfn.XLOOKUP(A10,'Raw Project Data'!$A$4:$A$10,'Raw Project Data'!$BR$4:$BR$10,"NA",0)-_xlfn.XLOOKUP(A10,'Raw Project Data'!$A$4:$A$10,'Raw Project Data'!$BS$4:$BS$10,"NA",0)))</f>
        <v>#DIV/0!</v>
      </c>
      <c r="U10" s="206" t="str">
        <f>IF(_xlfn.XLOOKUP(A10,'Raw Project Data'!$A$4:$A$10,'Raw Project Data'!$C$4:$C$10,"NA",0)="PSH","N/A",
(_xlfn.XLOOKUP(A10,'Raw Project Data'!$A$4:$A$10,'Raw Project Data'!$BV$4:$BV$10,"NA",0)+_xlfn.XLOOKUP(A10,'Raw Project Data'!$A$4:$A$10,'Raw Project Data'!$BW$4:$BW$10,"NA",0)+_xlfn.XLOOKUP(A10,'Raw Project Data'!$A$4:$A$10,'Raw Project Data'!$BX$4:$BX$10,"NA",0)+_xlfn.XLOOKUP(A10,'Raw Project Data'!$A$4:$A$10,'Raw Project Data'!$BY$4:$BY$10,"NA",0))/
(_xlfn.XLOOKUP(A10,'Raw Project Data'!$A$4:$A$10,'Raw Project Data'!$BZ$4:$BZ$10,"NA",0)))</f>
        <v>N/A</v>
      </c>
      <c r="V10" s="204" t="e">
        <f>IF(_xlfn.XLOOKUP(A10,'Raw Project Data'!$A$4:$A$10,'Raw Project Data'!$C$4:$C$10,"NA",0)="RRH","N/A",
(_xlfn.XLOOKUP(A10,'Raw Project Data'!$A$4:$A$10,'Raw Project Data'!$CA$4:$CA$10,"NA",0)+_xlfn.XLOOKUP(A10,'Raw Project Data'!$A$4:$A$10,'Raw Project Data'!$CH$4:$CH$10,"NA",0))/
((_xlfn.XLOOKUP(A10,'Raw Project Data'!$A$4:$A$10,'Raw Project Data'!$CG$4:$CG$10,"NA",0)+_xlfn.XLOOKUP(A10,'Raw Project Data'!$A$4:$A$10,'Raw Project Data'!$CA$4:$CA$10,"NA",0))-(_xlfn.XLOOKUP(A10,'Raw Project Data'!$A$4:$A$10,'Raw Project Data'!$CI$4:$CI$10,"NA",0))))</f>
        <v>#DIV/0!</v>
      </c>
      <c r="W10" s="207" t="str">
        <f>IF(_xlfn.XLOOKUP(A10,'Raw Project Data'!$A$4:$A$10,'Raw Project Data'!$C$4:$C$10,"NA",0)="PSH","N/A",
IF(_xlfn.XLOOKUP(A10,'Raw Project Data'!$A$4:$A$10,'Raw Project Data'!$CG$4:$CG$10,"NA",0)=0,"No Exits",
_xlfn.XLOOKUP(A10,'Raw Project Data'!$A$4:$A$10,'Raw Project Data'!$CJ$4:$CJ$10,"NA",0)))</f>
        <v>N/A</v>
      </c>
      <c r="X10" s="204" t="str">
        <f>IF(_xlfn.XLOOKUP(A10,'Raw Project Data'!$A$4:$A$10,'Raw Project Data'!$CG$4:$CG$10,"NA",0)=0,"No Exits",
((_xlfn.XLOOKUP(A10,'Raw Project Data'!$A$4:$A$10,'Raw Project Data'!$CC$4:$CC$10,"NA",0)+_xlfn.XLOOKUP(A10,'Raw Project Data'!$A$4:$A$10,'Raw Project Data'!$CD$4:$CD$10,"NA",0)+_xlfn.XLOOKUP(A10,'Raw Project Data'!$A$4:$A$10,'Raw Project Data'!$CF$4:$CF$10,"NA",0))/
(_xlfn.XLOOKUP(A10,'Raw Project Data'!$A$4:$A$10,'Raw Project Data'!$CG$4:$CG$10,"NA",0))))</f>
        <v>No Exits</v>
      </c>
      <c r="Y10" s="204" t="str">
        <f>IF(_xlfn.XLOOKUP(A10,'Raw Project Data'!$A$4:$A$10,'Raw Project Data'!$Q$4:$Q$10,"NA",0)=0,"No PH Exits",
(_xlfn.XLOOKUP(A10,'Raw Project Data'!$A$4:$A$10,'Raw Project Data'!$P$4:$P$10,"NA",0)/_xlfn.XLOOKUP(A10,'Raw Project Data'!$A$4:$A$10,'Raw Project Data'!$Q$4:$Q$10,"NA",0)))</f>
        <v>No PH Exits</v>
      </c>
      <c r="Z10" s="204" t="str">
        <f>IF((_xlfn.XLOOKUP(A10,'Raw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Data'!$AB$4:$AB$10,"NA",0))=0,"No Entries",
(_xlfn.XLOOKUP(A10,'Raw Project Data'!$A$4:$A$10,'Raw Project Data'!$W$4:$W$10,"NA",0)+_xlfn.XLOOKUP(A10,'Raw Project Data'!$A$4:$A$10,'Raw Project Data'!$X$4:$X$10,"NA",0)+_xlfn.XLOOKUP(A10,'Raw Project Data'!$A$4:$A$10,'Raw Project Data'!$Y$4:$Y$10,"NA",0))/(_xlfn.XLOOKUP(A10,'Raw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f>
        <v>No Entries</v>
      </c>
      <c r="AA10" s="204">
        <f>_xlfn.XLOOKUP(A10,'Raw Project Data'!$A$4:$A$10,'Raw Project Data'!$J$4:$J$10,"NA",0)</f>
        <v>0</v>
      </c>
      <c r="AB10" s="208">
        <f>_xlfn.XLOOKUP(A10,'Raw Project Data'!$A$4:$A$10,'Raw Project Data'!$R$4:$R$10,"NA",0)</f>
        <v>0</v>
      </c>
      <c r="AC10" s="208">
        <f>_xlfn.XLOOKUP(A10,'Raw Project Data'!$A$4:$A$10,'Raw Project Data'!$S$4:$S$10,"NA",0)</f>
        <v>0</v>
      </c>
      <c r="AD10" s="208">
        <f>_xlfn.XLOOKUP(A10,'Raw Project Data'!$A$4:$A$10,'Raw Project Data'!$T$4:$T$10,"NA",0)</f>
        <v>0</v>
      </c>
      <c r="AE10" s="204" t="e">
        <f>(_xlfn.XLOOKUP(A10,'Raw Project Data'!$A$4:$A$10,'Raw Project Data'!$AN$4:$AN$10,"NA",0)+_xlfn.XLOOKUP(A10,'Raw Project Data'!$A$4:$A$10,'Raw Project Data'!$AO$4:$AO$10,"NA",0)+_xlfn.XLOOKUP(A10,'Raw Project Data'!$A$4:$A$10,'Raw Project Data'!$AP$4:$AP$10,"NA",0)+_xlfn.XLOOKUP(A10,'Raw Project Data'!$A$4:$A$10,'Raw Project Data'!$AQ$4:$AQ$10,"NA",0))/(_xlfn.XLOOKUP(A10,'Raw Project Data'!$A$4:$A$10,'Raw Project Data'!$AR$4:$AR$10,"NA",0)+_xlfn.XLOOKUP(A10,'Raw Project Data'!$A$4:$A$10,'Raw Project Data'!$AS$4:$AS$10,"NA",0)-_xlfn.XLOOKUP(A10,'Raw Project Data'!$A$4:$A$10,'Raw Project Data'!$AT$4:$AT$10,"NA",0)-_xlfn.XLOOKUP(A10,'Raw Project Data'!$A$4:$A$10,'Raw Project Data'!$AU$4:$AU$10,"NA",0))</f>
        <v>#DIV/0!</v>
      </c>
      <c r="AF10" s="206" t="e">
        <f>_xlfn.XLOOKUP(A10,'Raw Project Data'!$A$4:$A$10,'Raw Project Data'!$AV$4:$AV$10,"NA",0)/(_xlfn.XLOOKUP(A10,'Raw Project Data'!$A$4:$A$10,'Raw Project Data'!$AX$4:$AX$10,"NA",0)-_xlfn.XLOOKUP(A10,'Raw Project Data'!$A$4:$A$10,'Raw Project Data'!$AW$4:$AW$10,"NA",0))</f>
        <v>#DIV/0!</v>
      </c>
      <c r="AG10" s="206" t="e">
        <f>_xlfn.XLOOKUP(A10,'Raw Project Data'!$A$4:$A$10,'Raw Project Data'!$AY$4:$AY$10,"NA",0)/(_xlfn.XLOOKUP(A10,'Raw Project Data'!$A$4:$A$10,'Raw Project Data'!$BB$4:$BB$10,"NA",0)-_xlfn.XLOOKUP(A10,'Raw Project Data'!$A$4:$A$10,'Raw Project Data'!$BA$4:$BA$10,"NA",0))</f>
        <v>#DIV/0!</v>
      </c>
      <c r="AH10" s="206" t="e">
        <f>_xlfn.XLOOKUP(A10,'Raw Project Data'!$A$4:$A$10,'Raw Project Data'!$AJ$4:$AJ$10,"NA",0)/(_xlfn.XLOOKUP(A10,'Raw Project Data'!$A$4:$A$10,'Raw Project Data'!$V$4:$V$10,"NA",0)-_xlfn.XLOOKUP(A10,'Raw Project Data'!$A$4:$A$10,'Raw Project Data'!$AM$4:$AM$10,"NA",0))</f>
        <v>#DIV/0!</v>
      </c>
      <c r="AI10" s="206" t="e">
        <f>(_xlfn.XLOOKUP(A10,'Raw Project Data'!$A$4:$A$10,'Raw Project Data'!$AK$4:$AK$10,"NA",0)+_xlfn.XLOOKUP(A10,'Raw Project Data'!$A$4:$A$10,'Raw Project Data'!$AL$4:$AL$10,"NA",0))/(_xlfn.XLOOKUP(A10,'Raw Project Data'!$A$4:$A$10,'Raw Project Data'!$V$4:$V$10,"NA",0)-_xlfn.XLOOKUP(A10,'Raw Project Data'!$A$4:$A$10,'Raw Project Data'!$AM$4:$AM$10,"NA",0))</f>
        <v>#DIV/0!</v>
      </c>
      <c r="AJ10" s="197"/>
      <c r="AK10" s="209" t="e">
        <f t="shared" si="1"/>
        <v>#DIV/0!</v>
      </c>
      <c r="AL10" s="209" t="e">
        <f t="shared" si="2"/>
        <v>#DIV/0!</v>
      </c>
      <c r="AM10" s="209" t="e">
        <f t="shared" si="3"/>
        <v>#DIV/0!</v>
      </c>
      <c r="AN10" s="209" t="e">
        <f t="shared" si="17"/>
        <v>#DIV/0!</v>
      </c>
      <c r="AO10" s="209" t="str">
        <f t="shared" si="18"/>
        <v>N/A</v>
      </c>
      <c r="AP10" s="209" t="e">
        <f t="shared" si="4"/>
        <v>#DIV/0!</v>
      </c>
      <c r="AQ10" s="209" t="e">
        <f t="shared" si="5"/>
        <v>#DIV/0!</v>
      </c>
      <c r="AR10" s="209" t="e">
        <f t="shared" si="6"/>
        <v>#DIV/0!</v>
      </c>
      <c r="AS10" s="209" t="e">
        <f t="shared" si="7"/>
        <v>#DIV/0!</v>
      </c>
      <c r="AT10" s="210" t="str">
        <f t="shared" si="19"/>
        <v>N/A</v>
      </c>
      <c r="AU10" s="210" t="e">
        <f t="shared" si="20"/>
        <v>#DIV/0!</v>
      </c>
      <c r="AV10" s="210" t="str">
        <f t="shared" si="21"/>
        <v>N/A</v>
      </c>
      <c r="AW10" s="210" t="str">
        <f t="shared" si="22"/>
        <v>N/A</v>
      </c>
      <c r="AX10" s="210" t="str">
        <f t="shared" si="23"/>
        <v>N/A</v>
      </c>
      <c r="AY10" s="210" t="str">
        <f t="shared" si="8"/>
        <v>N/A</v>
      </c>
      <c r="AZ10" s="210">
        <f t="shared" si="9"/>
        <v>0</v>
      </c>
      <c r="BA10" s="210">
        <f t="shared" si="10"/>
        <v>0</v>
      </c>
      <c r="BB10" s="210">
        <f t="shared" si="24"/>
        <v>0</v>
      </c>
      <c r="BC10" s="210">
        <f t="shared" si="25"/>
        <v>0</v>
      </c>
      <c r="BD10" s="211" t="e">
        <f t="shared" si="26"/>
        <v>#DIV/0!</v>
      </c>
      <c r="BE10" s="211" t="e">
        <f t="shared" si="27"/>
        <v>#DIV/0!</v>
      </c>
      <c r="BF10" s="211" t="e">
        <f t="shared" si="28"/>
        <v>#DIV/0!</v>
      </c>
      <c r="BG10" s="211" t="e">
        <f t="shared" si="29"/>
        <v>#DIV/0!</v>
      </c>
      <c r="BH10" s="211" t="e">
        <f t="shared" si="30"/>
        <v>#DIV/0!</v>
      </c>
      <c r="BI10" s="197"/>
      <c r="BJ10" s="209" t="e">
        <f t="shared" si="31"/>
        <v>#DIV/0!</v>
      </c>
      <c r="BK10" s="209" t="e">
        <f t="shared" si="32"/>
        <v>#DIV/0!</v>
      </c>
      <c r="BL10" s="209" t="e">
        <f t="shared" si="33"/>
        <v>#DIV/0!</v>
      </c>
      <c r="BM10" s="209" t="e">
        <f t="shared" si="34"/>
        <v>#DIV/0!</v>
      </c>
      <c r="BN10" s="209">
        <f t="shared" si="35"/>
        <v>0</v>
      </c>
      <c r="BO10" s="209" t="e">
        <f t="shared" si="36"/>
        <v>#DIV/0!</v>
      </c>
      <c r="BP10" s="209" t="e">
        <f t="shared" si="37"/>
        <v>#DIV/0!</v>
      </c>
      <c r="BQ10" s="209" t="e">
        <f t="shared" si="38"/>
        <v>#DIV/0!</v>
      </c>
      <c r="BR10" s="209" t="e">
        <f t="shared" si="39"/>
        <v>#DIV/0!</v>
      </c>
      <c r="BS10" s="210">
        <f t="shared" si="40"/>
        <v>0</v>
      </c>
      <c r="BT10" s="210" t="e">
        <f t="shared" si="41"/>
        <v>#DIV/0!</v>
      </c>
      <c r="BU10" s="210">
        <f t="shared" si="42"/>
        <v>0</v>
      </c>
      <c r="BV10" s="210">
        <f t="shared" si="43"/>
        <v>0</v>
      </c>
      <c r="BW10" s="210">
        <f t="shared" si="44"/>
        <v>0</v>
      </c>
      <c r="BX10" s="210">
        <f t="shared" si="45"/>
        <v>0</v>
      </c>
      <c r="BY10" s="210">
        <f t="shared" si="46"/>
        <v>5</v>
      </c>
      <c r="BZ10" s="210">
        <f t="shared" si="47"/>
        <v>5</v>
      </c>
      <c r="CA10" s="210">
        <f t="shared" si="48"/>
        <v>2</v>
      </c>
      <c r="CB10" s="210">
        <f t="shared" si="49"/>
        <v>3</v>
      </c>
      <c r="CC10" s="210">
        <v>0</v>
      </c>
      <c r="CD10" s="210">
        <v>0</v>
      </c>
      <c r="CE10" s="210">
        <v>0</v>
      </c>
      <c r="CF10" s="210">
        <v>0</v>
      </c>
      <c r="CG10" s="210">
        <v>0</v>
      </c>
    </row>
    <row r="11" spans="1:85" x14ac:dyDescent="0.25">
      <c r="A11" s="201" t="s">
        <v>189</v>
      </c>
      <c r="B11" s="201" t="s">
        <v>183</v>
      </c>
      <c r="C11" s="202" t="s">
        <v>11</v>
      </c>
      <c r="D11" s="202" t="str">
        <f>_xlfn.XLOOKUP(A11,'Raw Project Data'!$A$4:$A$10,'Raw Project Data'!$G$4:$G$10,"Not Found",0)</f>
        <v>Tenant-Based</v>
      </c>
      <c r="E11" s="201" t="s">
        <v>225</v>
      </c>
      <c r="F11" s="201" t="s">
        <v>190</v>
      </c>
      <c r="G11" s="203" t="s">
        <v>229</v>
      </c>
      <c r="H11" s="406" t="e">
        <f t="shared" si="0"/>
        <v>#DIV/0!</v>
      </c>
      <c r="I11" s="406" t="e">
        <f t="shared" si="14"/>
        <v>#DIV/0!</v>
      </c>
      <c r="J11" s="406" t="e">
        <f t="shared" si="15"/>
        <v>#DIV/0!</v>
      </c>
      <c r="K11" s="406" t="e">
        <f t="shared" si="16"/>
        <v>#DIV/0!</v>
      </c>
      <c r="L11" s="204" t="e">
        <f>_xlfn.XLOOKUP(A11,'Raw Project Data'!$A$4:$A$10,'Raw Project Data'!$N$4:$N$10,"NA",0)/_xlfn.XLOOKUP(A11,'Raw Project Data'!$A$4:$A$10,'Raw Project Data'!$O$4:$O$10,"NA",0)</f>
        <v>#DIV/0!</v>
      </c>
      <c r="M11" s="204" t="e">
        <f>AVERAGE(_xlfn.XLOOKUP(A11,'Raw Project Data'!$A$4:$A$10,'Raw Project Data'!$AF$4:$AF$10,"NA",0),_xlfn.XLOOKUP(A11,'Raw Project Data'!$A$4:$A$10,'Raw Project Data'!$AG$4:$AG$10,"NA",0),_xlfn.XLOOKUP(A11,'Raw Project Data'!$A$4:$A$10,'Raw Project Data'!$AH$4:$AH$10,"NA",0),_xlfn.XLOOKUP(A11,'Raw Project Data'!$A$4:$A$10,'Raw Project Data'!$AI$4:$AI$10,"NA",0))/_xlfn.XLOOKUP(A11,'Raw Project Data'!$A$4:$A$10,'Raw Project Data'!$H$4:$H$10,"NA",0)</f>
        <v>#DIV/0!</v>
      </c>
      <c r="N11" s="204" t="e">
        <f>_xlfn.XLOOKUP(A11,'Raw Project Data'!$A$4:$A$10,'Raw Project Data'!$AZ$4:$AZ$10,"NA",0)/(_xlfn.XLOOKUP(A11,'Raw Project Data'!$A$4:$A$10,'Raw Project Data'!$BB$4:$BB$10,"NA",0)-_xlfn.XLOOKUP(A11,'Raw Project Data'!$A$4:$A$10,'Raw Project Data'!$BA$4:$BA$10,"NA",0))</f>
        <v>#DIV/0!</v>
      </c>
      <c r="O11" s="204" t="str">
        <f>IF(_xlfn.XLOOKUP(A11,'Raw Project Data'!$A$4:$A$10,'Raw Project Data'!$C$4:$C$10,"NA",0)="RRH","N/A",(_xlfn.XLOOKUP(A11,'Raw Project Data'!$A$4:$A$10,'Raw Project Data'!$CK$4:$CK$10,"NA",0)/(_xlfn.XLOOKUP(A11,'Raw Project Data'!$A$4:$A$10,'Raw Project Data'!$CM$4:$CM$10,"NA",0)-_xlfn.XLOOKUP(A11,'Raw Project Data'!$A$4:$A$10,'Raw Project Data'!$CL$4:$CL$10,"NA",0))))</f>
        <v>N/A</v>
      </c>
      <c r="P11" s="205" t="str">
        <f>IF((_xlfn.XLOOKUP(A11,'Raw Project Data'!$A$4:$A$10,'Raw Project Data'!$W$4:$W$10,"NA",0)+_xlfn.XLOOKUP(A11,'Raw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Data'!$AB$4:$AB$10,"NA",0))=0,"No Entries",_xlfn.XLOOKUP(A11,'Raw Project Data'!$A$4:$A$10,'Raw Project Data'!$CB$4:$CB$10,"NA",0))</f>
        <v>No Entries</v>
      </c>
      <c r="Q11" s="204" t="e">
        <f>(_xlfn.XLOOKUP(A11,'Raw Project Data'!$A$4:$A$10,'Raw Project Data'!$BL$4:$BL$10,"NA",0)+_xlfn.XLOOKUP(A11,'Raw Project Data'!$A$4:$A$10,'Raw Project Data'!$BN$4:$BN$10,"NA",0))/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R11" s="204" t="e">
        <f>(_xlfn.XLOOKUP(A11,'Raw Project Data'!$A$4:$A$10,'Raw Project Data'!$BM$4:$BM$10,"NA",0)+_xlfn.XLOOKUP(A11,'Raw Project Data'!$A$4:$A$10,'Raw Project Data'!$BO$4:$BO$10,"NA",0))/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S11" s="204" t="e">
        <f>(_xlfn.XLOOKUP(A11,'Raw Project Data'!$A$4:$A$10,'Raw Project Data'!$BH$4:$BH$10,"NA",0)+_xlfn.XLOOKUP(A11,'Raw Project Data'!$A$4:$A$10,'Raw Project Data'!$BI$4:$BI$10,"NA",0)+_xlfn.XLOOKUP(A11,'Raw Project Data'!$A$4:$A$10,'Raw Project Data'!$BJ$4:$BJ$10,"NA",0)+_xlfn.XLOOKUP(A11,'Raw Project Data'!$A$4:$A$10,'Raw Project Data'!$BK$4:$BK$10,"NA",0))/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T11" s="204" t="e">
        <f>(_xlfn.XLOOKUP(A11,'Raw Project Data'!$A$4:$A$10,'Raw Project Data'!$BP$4:$BP$10,"NA",0)+_xlfn.XLOOKUP(A11,'Raw Project Data'!$A$4:$A$10,'Raw Project Data'!$BQ$4:$BQ$10,"NA",0))/
(_xlfn.XLOOKUP(A11,'Raw Project Data'!$A$4:$A$10,'Raw Project Data'!$BT$4:$BT$10,"NA",0)+_xlfn.XLOOKUP(A11,'Raw Project Data'!$A$4:$A$10,'Raw Project Data'!$BU$4:$BU$10,"NA",0)-(_xlfn.XLOOKUP(A11,'Raw Project Data'!$A$4:$A$10,'Raw Project Data'!$BE$4:$BE$10,"NA",0)-_xlfn.XLOOKUP(A11,'Raw Project Data'!$A$4:$A$10,'Raw Project Data'!$BR$4:$BR$10,"NA",0)-_xlfn.XLOOKUP(A11,'Raw Project Data'!$A$4:$A$10,'Raw Project Data'!$BS$4:$BS$10,"NA",0)))</f>
        <v>#DIV/0!</v>
      </c>
      <c r="U11" s="206" t="e">
        <f>IF(_xlfn.XLOOKUP(A11,'Raw Project Data'!$A$4:$A$10,'Raw Project Data'!$C$4:$C$10,"NA",0)="PSH","N/A",
(_xlfn.XLOOKUP(A11,'Raw Project Data'!$A$4:$A$10,'Raw Project Data'!$BV$4:$BV$10,"NA",0)+_xlfn.XLOOKUP(A11,'Raw Project Data'!$A$4:$A$10,'Raw Project Data'!$BW$4:$BW$10,"NA",0)+_xlfn.XLOOKUP(A11,'Raw Project Data'!$A$4:$A$10,'Raw Project Data'!$BX$4:$BX$10,"NA",0)+_xlfn.XLOOKUP(A11,'Raw Project Data'!$A$4:$A$10,'Raw Project Data'!$BY$4:$BY$10,"NA",0))/
(_xlfn.XLOOKUP(A11,'Raw Project Data'!$A$4:$A$10,'Raw Project Data'!$BZ$4:$BZ$10,"NA",0)))</f>
        <v>#DIV/0!</v>
      </c>
      <c r="V11" s="204" t="str">
        <f>IF(_xlfn.XLOOKUP(A11,'Raw Project Data'!$A$4:$A$10,'Raw Project Data'!$C$4:$C$10,"NA",0)="RRH","N/A",
(_xlfn.XLOOKUP(A11,'Raw Project Data'!$A$4:$A$10,'Raw Project Data'!$CA$4:$CA$10,"NA",0)+_xlfn.XLOOKUP(A11,'Raw Project Data'!$A$4:$A$10,'Raw Project Data'!$CH$4:$CH$10,"NA",0))/
((_xlfn.XLOOKUP(A11,'Raw Project Data'!$A$4:$A$10,'Raw Project Data'!$CG$4:$CG$10,"NA",0)+_xlfn.XLOOKUP(A11,'Raw Project Data'!$A$4:$A$10,'Raw Project Data'!$CA$4:$CA$10,"NA",0))-(_xlfn.XLOOKUP(A11,'Raw Project Data'!$A$4:$A$10,'Raw Project Data'!$CI$4:$CI$10,"NA",0))))</f>
        <v>N/A</v>
      </c>
      <c r="W11" s="207" t="str">
        <f>IF(_xlfn.XLOOKUP(A11,'Raw Project Data'!$A$4:$A$10,'Raw Project Data'!$C$4:$C$10,"NA",0)="PSH","N/A",
IF(_xlfn.XLOOKUP(A11,'Raw Project Data'!$A$4:$A$10,'Raw Project Data'!$CG$4:$CG$10,"NA",0)=0,"No Exits",
_xlfn.XLOOKUP(A11,'Raw Project Data'!$A$4:$A$10,'Raw Project Data'!$CJ$4:$CJ$10,"NA",0)))</f>
        <v>No Exits</v>
      </c>
      <c r="X11" s="204" t="str">
        <f>IF(_xlfn.XLOOKUP(A11,'Raw Project Data'!$A$4:$A$10,'Raw Project Data'!$CG$4:$CG$10,"NA",0)=0,"No Exits",
((_xlfn.XLOOKUP(A11,'Raw Project Data'!$A$4:$A$10,'Raw Project Data'!$CC$4:$CC$10,"NA",0)+_xlfn.XLOOKUP(A11,'Raw Project Data'!$A$4:$A$10,'Raw Project Data'!$CD$4:$CD$10,"NA",0)+_xlfn.XLOOKUP(A11,'Raw Project Data'!$A$4:$A$10,'Raw Project Data'!$CF$4:$CF$10,"NA",0))/
(_xlfn.XLOOKUP(A11,'Raw Project Data'!$A$4:$A$10,'Raw Project Data'!$CG$4:$CG$10,"NA",0))))</f>
        <v>No Exits</v>
      </c>
      <c r="Y11" s="204" t="str">
        <f>IF(_xlfn.XLOOKUP(A11,'Raw Project Data'!$A$4:$A$10,'Raw Project Data'!$Q$4:$Q$10,"NA",0)=0,"No PH Exits",
(_xlfn.XLOOKUP(A11,'Raw Project Data'!$A$4:$A$10,'Raw Project Data'!$P$4:$P$10,"NA",0)/_xlfn.XLOOKUP(A11,'Raw Project Data'!$A$4:$A$10,'Raw Project Data'!$Q$4:$Q$10,"NA",0)))</f>
        <v>No PH Exits</v>
      </c>
      <c r="Z11" s="204" t="str">
        <f>IF((_xlfn.XLOOKUP(A11,'Raw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Data'!$AB$4:$AB$10,"NA",0))=0,"No Entries",
(_xlfn.XLOOKUP(A11,'Raw Project Data'!$A$4:$A$10,'Raw Project Data'!$W$4:$W$10,"NA",0)+_xlfn.XLOOKUP(A11,'Raw Project Data'!$A$4:$A$10,'Raw Project Data'!$X$4:$X$10,"NA",0)+_xlfn.XLOOKUP(A11,'Raw Project Data'!$A$4:$A$10,'Raw Project Data'!$Y$4:$Y$10,"NA",0))/(_xlfn.XLOOKUP(A11,'Raw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f>
        <v>No Entries</v>
      </c>
      <c r="AA11" s="204">
        <f>_xlfn.XLOOKUP(A11,'Raw Project Data'!$A$4:$A$10,'Raw Project Data'!$J$4:$J$10,"NA",0)</f>
        <v>0</v>
      </c>
      <c r="AB11" s="208">
        <f>_xlfn.XLOOKUP(A11,'Raw Project Data'!$A$4:$A$10,'Raw Project Data'!$R$4:$R$10,"NA",0)</f>
        <v>0</v>
      </c>
      <c r="AC11" s="208">
        <f>_xlfn.XLOOKUP(A11,'Raw Project Data'!$A$4:$A$10,'Raw Project Data'!$S$4:$S$10,"NA",0)</f>
        <v>0</v>
      </c>
      <c r="AD11" s="208">
        <f>_xlfn.XLOOKUP(A11,'Raw Project Data'!$A$4:$A$10,'Raw Project Data'!$T$4:$T$10,"NA",0)</f>
        <v>0</v>
      </c>
      <c r="AE11" s="204" t="e">
        <f>(_xlfn.XLOOKUP(A11,'Raw Project Data'!$A$4:$A$10,'Raw Project Data'!$AN$4:$AN$10,"NA",0)+_xlfn.XLOOKUP(A11,'Raw Project Data'!$A$4:$A$10,'Raw Project Data'!$AO$4:$AO$10,"NA",0)+_xlfn.XLOOKUP(A11,'Raw Project Data'!$A$4:$A$10,'Raw Project Data'!$AP$4:$AP$10,"NA",0)+_xlfn.XLOOKUP(A11,'Raw Project Data'!$A$4:$A$10,'Raw Project Data'!$AQ$4:$AQ$10,"NA",0))/(_xlfn.XLOOKUP(A11,'Raw Project Data'!$A$4:$A$10,'Raw Project Data'!$AR$4:$AR$10,"NA",0)+_xlfn.XLOOKUP(A11,'Raw Project Data'!$A$4:$A$10,'Raw Project Data'!$AS$4:$AS$10,"NA",0)-_xlfn.XLOOKUP(A11,'Raw Project Data'!$A$4:$A$10,'Raw Project Data'!$AT$4:$AT$10,"NA",0)-_xlfn.XLOOKUP(A11,'Raw Project Data'!$A$4:$A$10,'Raw Project Data'!$AU$4:$AU$10,"NA",0))</f>
        <v>#DIV/0!</v>
      </c>
      <c r="AF11" s="206" t="e">
        <f>_xlfn.XLOOKUP(A11,'Raw Project Data'!$A$4:$A$10,'Raw Project Data'!$AV$4:$AV$10,"NA",0)/(_xlfn.XLOOKUP(A11,'Raw Project Data'!$A$4:$A$10,'Raw Project Data'!$AX$4:$AX$10,"NA",0)-_xlfn.XLOOKUP(A11,'Raw Project Data'!$A$4:$A$10,'Raw Project Data'!$AW$4:$AW$10,"NA",0))</f>
        <v>#DIV/0!</v>
      </c>
      <c r="AG11" s="206" t="e">
        <f>_xlfn.XLOOKUP(A11,'Raw Project Data'!$A$4:$A$10,'Raw Project Data'!$AY$4:$AY$10,"NA",0)/(_xlfn.XLOOKUP(A11,'Raw Project Data'!$A$4:$A$10,'Raw Project Data'!$BB$4:$BB$10,"NA",0)-_xlfn.XLOOKUP(A11,'Raw Project Data'!$A$4:$A$10,'Raw Project Data'!$BA$4:$BA$10,"NA",0))</f>
        <v>#DIV/0!</v>
      </c>
      <c r="AH11" s="206" t="e">
        <f>_xlfn.XLOOKUP(A11,'Raw Project Data'!$A$4:$A$10,'Raw Project Data'!$AJ$4:$AJ$10,"NA",0)/(_xlfn.XLOOKUP(A11,'Raw Project Data'!$A$4:$A$10,'Raw Project Data'!$V$4:$V$10,"NA",0)-_xlfn.XLOOKUP(A11,'Raw Project Data'!$A$4:$A$10,'Raw Project Data'!$AM$4:$AM$10,"NA",0))</f>
        <v>#DIV/0!</v>
      </c>
      <c r="AI11" s="206" t="e">
        <f>(_xlfn.XLOOKUP(A11,'Raw Project Data'!$A$4:$A$10,'Raw Project Data'!$AK$4:$AK$10,"NA",0)+_xlfn.XLOOKUP(A11,'Raw Project Data'!$A$4:$A$10,'Raw Project Data'!$AL$4:$AL$10,"NA",0))/(_xlfn.XLOOKUP(A11,'Raw Project Data'!$A$4:$A$10,'Raw Project Data'!$V$4:$V$10,"NA",0)-_xlfn.XLOOKUP(A11,'Raw Project Data'!$A$4:$A$10,'Raw Project Data'!$AM$4:$AM$10,"NA",0))</f>
        <v>#DIV/0!</v>
      </c>
      <c r="AJ11" s="197"/>
      <c r="AK11" s="209" t="e">
        <f t="shared" si="1"/>
        <v>#DIV/0!</v>
      </c>
      <c r="AL11" s="209" t="e">
        <f t="shared" si="2"/>
        <v>#DIV/0!</v>
      </c>
      <c r="AM11" s="209" t="e">
        <f t="shared" si="3"/>
        <v>#DIV/0!</v>
      </c>
      <c r="AN11" s="209" t="str">
        <f t="shared" si="17"/>
        <v>N/A</v>
      </c>
      <c r="AO11" s="209" t="str">
        <f t="shared" si="18"/>
        <v>N/A</v>
      </c>
      <c r="AP11" s="209" t="e">
        <f t="shared" si="4"/>
        <v>#DIV/0!</v>
      </c>
      <c r="AQ11" s="209" t="e">
        <f t="shared" si="5"/>
        <v>#DIV/0!</v>
      </c>
      <c r="AR11" s="209" t="e">
        <f t="shared" si="6"/>
        <v>#DIV/0!</v>
      </c>
      <c r="AS11" s="209" t="e">
        <f t="shared" si="7"/>
        <v>#DIV/0!</v>
      </c>
      <c r="AT11" s="210" t="e">
        <f t="shared" si="19"/>
        <v>#DIV/0!</v>
      </c>
      <c r="AU11" s="210" t="str">
        <f t="shared" si="20"/>
        <v>N/A</v>
      </c>
      <c r="AV11" s="210" t="str">
        <f t="shared" si="21"/>
        <v>N/A</v>
      </c>
      <c r="AW11" s="210" t="str">
        <f t="shared" si="22"/>
        <v>N/A</v>
      </c>
      <c r="AX11" s="210" t="str">
        <f t="shared" si="23"/>
        <v>N/A</v>
      </c>
      <c r="AY11" s="210" t="str">
        <f t="shared" si="8"/>
        <v>N/A</v>
      </c>
      <c r="AZ11" s="210">
        <f t="shared" si="9"/>
        <v>0</v>
      </c>
      <c r="BA11" s="210">
        <f t="shared" si="10"/>
        <v>0</v>
      </c>
      <c r="BB11" s="210">
        <f t="shared" si="24"/>
        <v>0</v>
      </c>
      <c r="BC11" s="210">
        <f t="shared" si="25"/>
        <v>0</v>
      </c>
      <c r="BD11" s="211" t="e">
        <f t="shared" si="26"/>
        <v>#DIV/0!</v>
      </c>
      <c r="BE11" s="211" t="e">
        <f t="shared" si="27"/>
        <v>#DIV/0!</v>
      </c>
      <c r="BF11" s="211" t="e">
        <f t="shared" si="28"/>
        <v>#DIV/0!</v>
      </c>
      <c r="BG11" s="211" t="e">
        <f t="shared" si="29"/>
        <v>#DIV/0!</v>
      </c>
      <c r="BH11" s="211" t="e">
        <f t="shared" si="30"/>
        <v>#DIV/0!</v>
      </c>
      <c r="BI11" s="197"/>
      <c r="BJ11" s="209" t="e">
        <f t="shared" si="31"/>
        <v>#DIV/0!</v>
      </c>
      <c r="BK11" s="209" t="e">
        <f t="shared" si="32"/>
        <v>#DIV/0!</v>
      </c>
      <c r="BL11" s="209" t="e">
        <f t="shared" si="33"/>
        <v>#DIV/0!</v>
      </c>
      <c r="BM11" s="209">
        <f t="shared" si="34"/>
        <v>0</v>
      </c>
      <c r="BN11" s="209">
        <f t="shared" si="35"/>
        <v>0</v>
      </c>
      <c r="BO11" s="209" t="e">
        <f t="shared" si="36"/>
        <v>#DIV/0!</v>
      </c>
      <c r="BP11" s="209" t="e">
        <f t="shared" si="37"/>
        <v>#DIV/0!</v>
      </c>
      <c r="BQ11" s="209" t="e">
        <f t="shared" si="38"/>
        <v>#DIV/0!</v>
      </c>
      <c r="BR11" s="209" t="e">
        <f t="shared" si="39"/>
        <v>#DIV/0!</v>
      </c>
      <c r="BS11" s="210" t="e">
        <f t="shared" si="40"/>
        <v>#DIV/0!</v>
      </c>
      <c r="BT11" s="210">
        <f t="shared" si="41"/>
        <v>0</v>
      </c>
      <c r="BU11" s="210">
        <f t="shared" si="42"/>
        <v>0</v>
      </c>
      <c r="BV11" s="210">
        <f t="shared" si="43"/>
        <v>0</v>
      </c>
      <c r="BW11" s="210">
        <f t="shared" si="44"/>
        <v>0</v>
      </c>
      <c r="BX11" s="210">
        <f t="shared" si="45"/>
        <v>0</v>
      </c>
      <c r="BY11" s="210">
        <f t="shared" si="46"/>
        <v>5</v>
      </c>
      <c r="BZ11" s="210">
        <f t="shared" si="47"/>
        <v>5</v>
      </c>
      <c r="CA11" s="210">
        <f t="shared" si="48"/>
        <v>2</v>
      </c>
      <c r="CB11" s="210">
        <f t="shared" si="49"/>
        <v>3</v>
      </c>
      <c r="CC11" s="210">
        <v>0</v>
      </c>
      <c r="CD11" s="210">
        <v>0</v>
      </c>
      <c r="CE11" s="210">
        <v>0</v>
      </c>
      <c r="CF11" s="210">
        <v>0</v>
      </c>
      <c r="CG11" s="210">
        <v>0</v>
      </c>
    </row>
    <row r="12" spans="1:85" x14ac:dyDescent="0.25">
      <c r="V12" s="401"/>
    </row>
    <row r="13" spans="1:85" x14ac:dyDescent="0.25">
      <c r="M13" s="418"/>
    </row>
    <row r="14" spans="1:85" x14ac:dyDescent="0.25">
      <c r="I14" s="419"/>
      <c r="K14" s="419"/>
    </row>
  </sheetData>
  <mergeCells count="3">
    <mergeCell ref="L2:AI2"/>
    <mergeCell ref="AK2:BH2"/>
    <mergeCell ref="BJ2:CG2"/>
  </mergeCells>
  <conditionalFormatting sqref="A5:A11">
    <cfRule type="expression" dxfId="3" priority="1">
      <formula>(#REF!&gt;1)</formula>
    </cfRule>
  </conditionalFormatting>
  <conditionalFormatting sqref="L5:AI11">
    <cfRule type="containsText" dxfId="2" priority="2" operator="containsText" text="Error">
      <formula>NOT(ISERROR(SEARCH("Error",L5)))</formula>
    </cfRule>
  </conditionalFormatting>
  <dataValidations count="1">
    <dataValidation type="list" allowBlank="1" showInputMessage="1" showErrorMessage="1" sqref="B5:B10" xr:uid="{F3187DDD-7CEB-4700-8393-FEE1B49DE55B}">
      <formula1>"PH, TH, Joint TH &amp; PH-RRH, HMIS, SSO, TRA, PRA, SRA, S+C/SRO"</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1E3F-CC9E-4DB6-A637-B44FB2554457}">
  <sheetPr>
    <tabColor theme="7" tint="0.39997558519241921"/>
  </sheetPr>
  <dimension ref="A1:CM12"/>
  <sheetViews>
    <sheetView workbookViewId="0">
      <pane xSplit="8" ySplit="3" topLeftCell="I4" activePane="bottomRight" state="frozen"/>
      <selection pane="topRight" activeCell="I1" sqref="I1"/>
      <selection pane="bottomLeft" activeCell="A4" sqref="A4"/>
      <selection pane="bottomRight" activeCell="H4" sqref="H4"/>
    </sheetView>
  </sheetViews>
  <sheetFormatPr defaultColWidth="8.7109375" defaultRowHeight="15" x14ac:dyDescent="0.25"/>
  <cols>
    <col min="1" max="1" width="11.140625" style="2" customWidth="1"/>
    <col min="2" max="2" width="11.7109375" style="2" customWidth="1"/>
    <col min="3" max="3" width="12.85546875" style="2" customWidth="1"/>
    <col min="4" max="4" width="13.85546875" style="2" customWidth="1"/>
    <col min="5" max="5" width="21.7109375" style="2" customWidth="1"/>
    <col min="6" max="6" width="36.7109375" style="103" customWidth="1"/>
    <col min="7" max="7" width="19.140625" style="2" customWidth="1"/>
    <col min="8" max="8" width="16" style="2" customWidth="1"/>
    <col min="9" max="9" width="19.5703125" style="2" customWidth="1"/>
    <col min="10" max="10" width="20.5703125" style="2" customWidth="1"/>
    <col min="11" max="11" width="21.42578125" style="15" customWidth="1"/>
    <col min="12" max="13" width="16.140625" style="2" customWidth="1"/>
    <col min="14" max="14" width="16" style="2" customWidth="1"/>
    <col min="15" max="15" width="19.85546875" style="2" customWidth="1"/>
    <col min="16" max="16" width="14.140625" style="2" customWidth="1"/>
    <col min="17" max="17" width="21.28515625" style="2" customWidth="1"/>
    <col min="18" max="18" width="19.5703125" style="2" customWidth="1"/>
    <col min="19" max="19" width="22.42578125" style="2" customWidth="1"/>
    <col min="20" max="20" width="14.5703125" style="2" customWidth="1"/>
    <col min="21" max="21" width="21" style="2" customWidth="1"/>
    <col min="22" max="30" width="16.140625" style="2" customWidth="1"/>
    <col min="31" max="31" width="23.7109375" style="2" customWidth="1"/>
    <col min="32" max="38" width="16.140625" style="2" customWidth="1"/>
    <col min="39" max="39" width="16.5703125" style="2" customWidth="1"/>
    <col min="40" max="52" width="16.140625" style="2" customWidth="1"/>
    <col min="53" max="53" width="21.28515625" style="2" customWidth="1"/>
    <col min="54" max="54" width="16.140625" style="2" customWidth="1"/>
    <col min="55" max="55" width="30.140625" style="2" customWidth="1"/>
    <col min="56" max="56" width="23.42578125" style="2" customWidth="1"/>
    <col min="57" max="59" width="16.5703125" style="2" customWidth="1"/>
    <col min="60" max="60" width="15.28515625" style="2" customWidth="1"/>
    <col min="61" max="63" width="16.140625" style="2" customWidth="1"/>
    <col min="64" max="64" width="29" style="2" customWidth="1"/>
    <col min="65" max="65" width="29.85546875" style="2" bestFit="1" customWidth="1"/>
    <col min="66" max="66" width="26.28515625" style="2" customWidth="1"/>
    <col min="67" max="67" width="29.140625" style="2" customWidth="1"/>
    <col min="68" max="78" width="16.140625" style="2" customWidth="1"/>
    <col min="79" max="79" width="23.42578125" style="2" customWidth="1"/>
    <col min="80" max="80" width="19.7109375" style="2" customWidth="1"/>
    <col min="81" max="82" width="16.140625" style="2" customWidth="1"/>
    <col min="83" max="83" width="16.5703125" style="2" customWidth="1"/>
    <col min="84" max="88" width="18.5703125" style="2" customWidth="1"/>
    <col min="89" max="89" width="16" style="2" customWidth="1"/>
    <col min="90" max="90" width="13.28515625" style="2" customWidth="1"/>
    <col min="91" max="91" width="11.85546875" style="2" customWidth="1"/>
    <col min="92" max="16384" width="8.7109375" style="2"/>
  </cols>
  <sheetData>
    <row r="1" spans="1:91" s="10" customFormat="1" x14ac:dyDescent="0.25">
      <c r="A1" s="10">
        <v>1</v>
      </c>
      <c r="B1" s="10">
        <v>2</v>
      </c>
      <c r="C1" s="10">
        <v>3</v>
      </c>
      <c r="D1" s="10">
        <v>4</v>
      </c>
      <c r="E1" s="10">
        <v>5</v>
      </c>
      <c r="F1" s="16">
        <v>6</v>
      </c>
      <c r="G1" s="10">
        <v>7</v>
      </c>
      <c r="H1" s="10">
        <v>8</v>
      </c>
      <c r="I1" s="10">
        <v>9</v>
      </c>
      <c r="J1" s="10">
        <v>10</v>
      </c>
      <c r="K1" s="15">
        <v>11</v>
      </c>
      <c r="L1" s="10">
        <v>12</v>
      </c>
      <c r="M1" s="10">
        <v>13</v>
      </c>
      <c r="N1" s="10">
        <v>14</v>
      </c>
      <c r="O1" s="16">
        <v>15</v>
      </c>
      <c r="P1" s="10">
        <v>16</v>
      </c>
      <c r="Q1" s="10">
        <v>17</v>
      </c>
      <c r="R1" s="10">
        <v>22</v>
      </c>
      <c r="S1" s="16">
        <v>23</v>
      </c>
      <c r="T1" s="10">
        <v>24</v>
      </c>
      <c r="U1" s="10">
        <v>25</v>
      </c>
      <c r="V1" s="10">
        <v>26</v>
      </c>
      <c r="W1" s="16">
        <v>27</v>
      </c>
      <c r="X1" s="10">
        <v>28</v>
      </c>
      <c r="Y1" s="10">
        <v>29</v>
      </c>
      <c r="Z1" s="10">
        <v>30</v>
      </c>
      <c r="AA1" s="16">
        <v>31</v>
      </c>
      <c r="AB1" s="10">
        <v>32</v>
      </c>
      <c r="AC1" s="10">
        <v>33</v>
      </c>
      <c r="AD1" s="10">
        <v>34</v>
      </c>
      <c r="AE1" s="16">
        <v>35</v>
      </c>
      <c r="AF1" s="10">
        <v>36</v>
      </c>
      <c r="AG1" s="10">
        <v>37</v>
      </c>
      <c r="AH1" s="10">
        <v>38</v>
      </c>
      <c r="AI1" s="16">
        <v>39</v>
      </c>
      <c r="AJ1" s="10">
        <v>40</v>
      </c>
      <c r="AK1" s="10">
        <v>41</v>
      </c>
      <c r="AL1" s="10">
        <v>42</v>
      </c>
      <c r="AM1" s="16">
        <v>43</v>
      </c>
      <c r="AN1" s="10">
        <v>44</v>
      </c>
      <c r="AO1" s="10">
        <v>45</v>
      </c>
      <c r="AP1" s="10">
        <v>46</v>
      </c>
      <c r="AQ1" s="16">
        <v>47</v>
      </c>
      <c r="AR1" s="10">
        <v>48</v>
      </c>
      <c r="AS1" s="10">
        <v>49</v>
      </c>
      <c r="AT1" s="10">
        <v>50</v>
      </c>
      <c r="AU1" s="16">
        <v>51</v>
      </c>
      <c r="AV1" s="10">
        <v>52</v>
      </c>
      <c r="AW1" s="10">
        <v>53</v>
      </c>
      <c r="AX1" s="10">
        <v>54</v>
      </c>
      <c r="AY1" s="16">
        <v>55</v>
      </c>
      <c r="AZ1" s="10">
        <v>56</v>
      </c>
      <c r="BA1" s="10">
        <v>57</v>
      </c>
      <c r="BB1" s="10">
        <v>58</v>
      </c>
      <c r="BC1" s="16">
        <v>59</v>
      </c>
      <c r="BD1" s="10">
        <v>60</v>
      </c>
      <c r="BE1" s="10">
        <v>61</v>
      </c>
      <c r="BF1" s="10">
        <v>62</v>
      </c>
      <c r="BG1" s="16">
        <v>63</v>
      </c>
      <c r="BH1" s="10">
        <v>64</v>
      </c>
      <c r="BI1" s="10">
        <v>65</v>
      </c>
      <c r="BJ1" s="10">
        <v>66</v>
      </c>
      <c r="BK1" s="16">
        <v>67</v>
      </c>
      <c r="BL1" s="10">
        <v>70</v>
      </c>
      <c r="BM1" s="16">
        <v>71</v>
      </c>
      <c r="BN1" s="10">
        <v>72</v>
      </c>
      <c r="BO1" s="10">
        <v>73</v>
      </c>
      <c r="BP1" s="10">
        <v>74</v>
      </c>
      <c r="BQ1" s="16">
        <v>75</v>
      </c>
      <c r="BR1" s="10">
        <v>76</v>
      </c>
      <c r="BS1" s="10">
        <v>77</v>
      </c>
      <c r="BT1" s="10">
        <v>78</v>
      </c>
      <c r="BU1" s="16">
        <v>79</v>
      </c>
      <c r="BV1" s="10">
        <v>80</v>
      </c>
      <c r="BW1" s="10">
        <v>81</v>
      </c>
      <c r="BX1" s="10">
        <v>82</v>
      </c>
      <c r="BY1" s="16">
        <v>83</v>
      </c>
      <c r="BZ1" s="10">
        <v>84</v>
      </c>
      <c r="CA1" s="10">
        <v>85</v>
      </c>
      <c r="CB1" s="10">
        <v>86</v>
      </c>
      <c r="CC1" s="16">
        <v>87</v>
      </c>
      <c r="CD1" s="10">
        <v>88</v>
      </c>
      <c r="CE1" s="10">
        <v>89</v>
      </c>
      <c r="CF1" s="10">
        <v>90</v>
      </c>
      <c r="CG1" s="16">
        <v>91</v>
      </c>
      <c r="CH1" s="10">
        <v>92</v>
      </c>
      <c r="CI1" s="10">
        <v>93</v>
      </c>
      <c r="CJ1" s="10">
        <v>94</v>
      </c>
      <c r="CK1" s="16">
        <v>95</v>
      </c>
      <c r="CL1" s="10">
        <v>96</v>
      </c>
      <c r="CM1" s="10">
        <v>97</v>
      </c>
    </row>
    <row r="2" spans="1:91" s="8" customFormat="1" ht="135" x14ac:dyDescent="0.25">
      <c r="F2" s="15"/>
      <c r="G2" s="212" t="s">
        <v>230</v>
      </c>
      <c r="H2" s="212" t="s">
        <v>231</v>
      </c>
      <c r="I2" s="212" t="s">
        <v>232</v>
      </c>
      <c r="J2" s="212" t="s">
        <v>233</v>
      </c>
      <c r="K2" s="212" t="s">
        <v>234</v>
      </c>
      <c r="L2" s="212" t="s">
        <v>628</v>
      </c>
      <c r="M2" s="212" t="s">
        <v>629</v>
      </c>
      <c r="N2" s="212" t="s">
        <v>235</v>
      </c>
      <c r="O2" s="212" t="s">
        <v>236</v>
      </c>
      <c r="P2" s="212" t="s">
        <v>237</v>
      </c>
      <c r="Q2" s="212" t="s">
        <v>630</v>
      </c>
      <c r="R2" s="212" t="s">
        <v>238</v>
      </c>
      <c r="S2" s="212" t="s">
        <v>239</v>
      </c>
      <c r="T2" s="212" t="s">
        <v>240</v>
      </c>
      <c r="U2" s="212" t="s">
        <v>241</v>
      </c>
      <c r="V2" s="212" t="s">
        <v>242</v>
      </c>
      <c r="W2" s="212" t="s">
        <v>243</v>
      </c>
      <c r="X2" s="212" t="s">
        <v>244</v>
      </c>
      <c r="Y2" s="212" t="s">
        <v>245</v>
      </c>
      <c r="Z2" s="212" t="s">
        <v>246</v>
      </c>
      <c r="AA2" s="212" t="s">
        <v>247</v>
      </c>
      <c r="AB2" s="212" t="s">
        <v>248</v>
      </c>
      <c r="AC2" s="212" t="s">
        <v>249</v>
      </c>
      <c r="AD2" s="212" t="s">
        <v>250</v>
      </c>
      <c r="AE2" s="212" t="s">
        <v>251</v>
      </c>
      <c r="AF2" s="212" t="s">
        <v>252</v>
      </c>
      <c r="AG2" s="212" t="s">
        <v>253</v>
      </c>
      <c r="AH2" s="212" t="s">
        <v>254</v>
      </c>
      <c r="AI2" s="212" t="s">
        <v>255</v>
      </c>
      <c r="AJ2" s="212" t="s">
        <v>256</v>
      </c>
      <c r="AK2" s="212" t="s">
        <v>257</v>
      </c>
      <c r="AL2" s="212" t="s">
        <v>258</v>
      </c>
      <c r="AM2" s="212" t="s">
        <v>259</v>
      </c>
      <c r="AN2" s="212" t="s">
        <v>260</v>
      </c>
      <c r="AO2" s="212" t="s">
        <v>261</v>
      </c>
      <c r="AP2" s="212" t="s">
        <v>262</v>
      </c>
      <c r="AQ2" s="212" t="s">
        <v>263</v>
      </c>
      <c r="AR2" s="212" t="s">
        <v>264</v>
      </c>
      <c r="AS2" s="212" t="s">
        <v>265</v>
      </c>
      <c r="AT2" s="212" t="s">
        <v>266</v>
      </c>
      <c r="AU2" s="212" t="s">
        <v>267</v>
      </c>
      <c r="AV2" s="212" t="s">
        <v>268</v>
      </c>
      <c r="AW2" s="212" t="s">
        <v>269</v>
      </c>
      <c r="AX2" s="212" t="s">
        <v>270</v>
      </c>
      <c r="AY2" s="212" t="s">
        <v>271</v>
      </c>
      <c r="AZ2" s="212" t="s">
        <v>272</v>
      </c>
      <c r="BA2" s="212" t="s">
        <v>273</v>
      </c>
      <c r="BB2" s="212" t="s">
        <v>274</v>
      </c>
      <c r="BC2" s="212" t="s">
        <v>275</v>
      </c>
      <c r="BD2" s="212" t="s">
        <v>276</v>
      </c>
      <c r="BE2" s="212" t="s">
        <v>277</v>
      </c>
      <c r="BF2" s="212" t="s">
        <v>278</v>
      </c>
      <c r="BG2" s="212" t="s">
        <v>279</v>
      </c>
      <c r="BH2" s="212" t="s">
        <v>280</v>
      </c>
      <c r="BI2" s="212" t="s">
        <v>281</v>
      </c>
      <c r="BJ2" s="212" t="s">
        <v>282</v>
      </c>
      <c r="BK2" s="212" t="s">
        <v>283</v>
      </c>
      <c r="BL2" s="212" t="s">
        <v>284</v>
      </c>
      <c r="BM2" s="212" t="s">
        <v>285</v>
      </c>
      <c r="BN2" s="212" t="s">
        <v>286</v>
      </c>
      <c r="BO2" s="212" t="s">
        <v>287</v>
      </c>
      <c r="BP2" s="212" t="s">
        <v>288</v>
      </c>
      <c r="BQ2" s="212" t="s">
        <v>289</v>
      </c>
      <c r="BR2" s="212" t="s">
        <v>290</v>
      </c>
      <c r="BS2" s="212" t="s">
        <v>291</v>
      </c>
      <c r="BT2" s="212" t="s">
        <v>292</v>
      </c>
      <c r="BU2" s="212" t="s">
        <v>293</v>
      </c>
      <c r="BV2" s="212" t="s">
        <v>294</v>
      </c>
      <c r="BW2" s="212" t="s">
        <v>295</v>
      </c>
      <c r="BX2" s="212" t="s">
        <v>296</v>
      </c>
      <c r="BY2" s="212" t="s">
        <v>297</v>
      </c>
      <c r="BZ2" s="212" t="s">
        <v>298</v>
      </c>
      <c r="CA2" s="212" t="s">
        <v>299</v>
      </c>
      <c r="CB2" s="212" t="s">
        <v>300</v>
      </c>
      <c r="CC2" s="212" t="s">
        <v>301</v>
      </c>
      <c r="CD2" s="212" t="s">
        <v>302</v>
      </c>
      <c r="CE2" s="212" t="s">
        <v>303</v>
      </c>
      <c r="CF2" s="212" t="s">
        <v>304</v>
      </c>
      <c r="CG2" s="212" t="s">
        <v>305</v>
      </c>
      <c r="CH2" s="212" t="s">
        <v>306</v>
      </c>
      <c r="CI2" s="212" t="s">
        <v>307</v>
      </c>
      <c r="CJ2" s="212" t="s">
        <v>308</v>
      </c>
      <c r="CK2" s="212" t="s">
        <v>309</v>
      </c>
      <c r="CL2" s="212" t="s">
        <v>310</v>
      </c>
      <c r="CM2" s="212" t="s">
        <v>311</v>
      </c>
    </row>
    <row r="3" spans="1:91" s="385" customFormat="1" ht="50.25" x14ac:dyDescent="0.25">
      <c r="A3" s="381" t="s">
        <v>178</v>
      </c>
      <c r="B3" s="382" t="s">
        <v>179</v>
      </c>
      <c r="C3" s="382" t="s">
        <v>90</v>
      </c>
      <c r="D3" s="382" t="s">
        <v>180</v>
      </c>
      <c r="E3" s="382" t="s">
        <v>622</v>
      </c>
      <c r="F3" s="382" t="s">
        <v>312</v>
      </c>
      <c r="G3" s="383" t="s">
        <v>545</v>
      </c>
      <c r="H3" s="383" t="s">
        <v>544</v>
      </c>
      <c r="I3" s="383" t="s">
        <v>527</v>
      </c>
      <c r="J3" s="383" t="s">
        <v>546</v>
      </c>
      <c r="K3" s="382" t="s">
        <v>528</v>
      </c>
      <c r="L3" s="383" t="s">
        <v>532</v>
      </c>
      <c r="M3" s="383" t="s">
        <v>529</v>
      </c>
      <c r="N3" s="383" t="s">
        <v>526</v>
      </c>
      <c r="O3" s="383" t="s">
        <v>525</v>
      </c>
      <c r="P3" s="383" t="s">
        <v>530</v>
      </c>
      <c r="Q3" s="383" t="s">
        <v>531</v>
      </c>
      <c r="R3" s="383" t="s">
        <v>547</v>
      </c>
      <c r="S3" s="383" t="s">
        <v>548</v>
      </c>
      <c r="T3" s="383" t="s">
        <v>549</v>
      </c>
      <c r="U3" s="383" t="s">
        <v>533</v>
      </c>
      <c r="V3" s="383" t="s">
        <v>534</v>
      </c>
      <c r="W3" s="383" t="s">
        <v>535</v>
      </c>
      <c r="X3" s="383" t="s">
        <v>536</v>
      </c>
      <c r="Y3" s="383" t="s">
        <v>537</v>
      </c>
      <c r="Z3" s="383" t="s">
        <v>538</v>
      </c>
      <c r="AA3" s="383" t="s">
        <v>540</v>
      </c>
      <c r="AB3" s="383" t="s">
        <v>539</v>
      </c>
      <c r="AC3" s="383" t="s">
        <v>541</v>
      </c>
      <c r="AD3" s="383" t="s">
        <v>542</v>
      </c>
      <c r="AE3" s="383" t="s">
        <v>543</v>
      </c>
      <c r="AF3" s="383" t="s">
        <v>550</v>
      </c>
      <c r="AG3" s="383" t="s">
        <v>551</v>
      </c>
      <c r="AH3" s="383" t="s">
        <v>552</v>
      </c>
      <c r="AI3" s="383" t="s">
        <v>553</v>
      </c>
      <c r="AJ3" s="383" t="s">
        <v>554</v>
      </c>
      <c r="AK3" s="383" t="s">
        <v>555</v>
      </c>
      <c r="AL3" s="383" t="s">
        <v>556</v>
      </c>
      <c r="AM3" s="383" t="s">
        <v>313</v>
      </c>
      <c r="AN3" s="383" t="s">
        <v>557</v>
      </c>
      <c r="AO3" s="383" t="s">
        <v>558</v>
      </c>
      <c r="AP3" s="383" t="s">
        <v>559</v>
      </c>
      <c r="AQ3" s="383" t="s">
        <v>560</v>
      </c>
      <c r="AR3" s="383" t="s">
        <v>561</v>
      </c>
      <c r="AS3" s="383" t="s">
        <v>562</v>
      </c>
      <c r="AT3" s="383" t="s">
        <v>563</v>
      </c>
      <c r="AU3" s="383" t="s">
        <v>564</v>
      </c>
      <c r="AV3" s="383" t="s">
        <v>565</v>
      </c>
      <c r="AW3" s="383" t="s">
        <v>566</v>
      </c>
      <c r="AX3" s="383" t="s">
        <v>567</v>
      </c>
      <c r="AY3" s="383" t="s">
        <v>568</v>
      </c>
      <c r="AZ3" s="383" t="s">
        <v>569</v>
      </c>
      <c r="BA3" s="383" t="s">
        <v>607</v>
      </c>
      <c r="BB3" s="383" t="s">
        <v>608</v>
      </c>
      <c r="BC3" s="383" t="s">
        <v>570</v>
      </c>
      <c r="BD3" s="383" t="s">
        <v>571</v>
      </c>
      <c r="BE3" s="383" t="s">
        <v>572</v>
      </c>
      <c r="BF3" s="383" t="s">
        <v>573</v>
      </c>
      <c r="BG3" s="383" t="s">
        <v>574</v>
      </c>
      <c r="BH3" s="383" t="s">
        <v>575</v>
      </c>
      <c r="BI3" s="383" t="s">
        <v>576</v>
      </c>
      <c r="BJ3" s="383" t="s">
        <v>577</v>
      </c>
      <c r="BK3" s="383" t="s">
        <v>578</v>
      </c>
      <c r="BL3" s="383" t="s">
        <v>579</v>
      </c>
      <c r="BM3" s="383" t="s">
        <v>580</v>
      </c>
      <c r="BN3" s="383" t="s">
        <v>581</v>
      </c>
      <c r="BO3" s="383" t="s">
        <v>582</v>
      </c>
      <c r="BP3" s="383" t="s">
        <v>583</v>
      </c>
      <c r="BQ3" s="383" t="s">
        <v>584</v>
      </c>
      <c r="BR3" s="383" t="s">
        <v>585</v>
      </c>
      <c r="BS3" s="383" t="s">
        <v>586</v>
      </c>
      <c r="BT3" s="383" t="s">
        <v>587</v>
      </c>
      <c r="BU3" s="383" t="s">
        <v>588</v>
      </c>
      <c r="BV3" s="383" t="s">
        <v>589</v>
      </c>
      <c r="BW3" s="383" t="s">
        <v>590</v>
      </c>
      <c r="BX3" s="383" t="s">
        <v>591</v>
      </c>
      <c r="BY3" s="383" t="s">
        <v>592</v>
      </c>
      <c r="BZ3" s="383" t="s">
        <v>593</v>
      </c>
      <c r="CA3" s="383" t="s">
        <v>597</v>
      </c>
      <c r="CB3" s="383" t="s">
        <v>594</v>
      </c>
      <c r="CC3" s="383" t="s">
        <v>595</v>
      </c>
      <c r="CD3" s="383" t="s">
        <v>596</v>
      </c>
      <c r="CE3" s="383" t="s">
        <v>598</v>
      </c>
      <c r="CF3" s="383" t="s">
        <v>599</v>
      </c>
      <c r="CG3" s="383" t="s">
        <v>600</v>
      </c>
      <c r="CH3" s="383" t="s">
        <v>601</v>
      </c>
      <c r="CI3" s="383" t="s">
        <v>602</v>
      </c>
      <c r="CJ3" s="383" t="s">
        <v>603</v>
      </c>
      <c r="CK3" s="383" t="s">
        <v>604</v>
      </c>
      <c r="CL3" s="383" t="s">
        <v>605</v>
      </c>
      <c r="CM3" s="384" t="s">
        <v>606</v>
      </c>
    </row>
    <row r="4" spans="1:91" s="48" customFormat="1" ht="43.5" customHeight="1" x14ac:dyDescent="0.25">
      <c r="A4" s="377" t="s">
        <v>176</v>
      </c>
      <c r="B4" s="201" t="s">
        <v>183</v>
      </c>
      <c r="C4" s="202" t="s">
        <v>11</v>
      </c>
      <c r="D4" s="201" t="s">
        <v>225</v>
      </c>
      <c r="E4" s="201" t="s">
        <v>187</v>
      </c>
      <c r="F4" s="203" t="s">
        <v>226</v>
      </c>
      <c r="G4" s="202" t="s">
        <v>315</v>
      </c>
      <c r="H4" s="219"/>
      <c r="I4" s="219" t="s">
        <v>316</v>
      </c>
      <c r="J4" s="220"/>
      <c r="K4" s="203" t="s">
        <v>626</v>
      </c>
      <c r="L4" s="221">
        <v>45474</v>
      </c>
      <c r="M4" s="221">
        <v>45838</v>
      </c>
      <c r="N4" s="222"/>
      <c r="O4" s="222"/>
      <c r="P4" s="223"/>
      <c r="Q4" s="223"/>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24"/>
      <c r="CK4" s="375"/>
      <c r="CL4" s="375"/>
      <c r="CM4" s="380"/>
    </row>
    <row r="5" spans="1:91" s="48" customFormat="1" ht="56.25" customHeight="1" x14ac:dyDescent="0.25">
      <c r="A5" s="377" t="s">
        <v>189</v>
      </c>
      <c r="B5" s="201" t="s">
        <v>183</v>
      </c>
      <c r="C5" s="202" t="s">
        <v>11</v>
      </c>
      <c r="D5" s="201" t="s">
        <v>225</v>
      </c>
      <c r="E5" s="201" t="s">
        <v>190</v>
      </c>
      <c r="F5" s="413" t="s">
        <v>229</v>
      </c>
      <c r="G5" s="202" t="s">
        <v>315</v>
      </c>
      <c r="H5" s="219"/>
      <c r="I5" s="219" t="s">
        <v>318</v>
      </c>
      <c r="J5" s="224"/>
      <c r="K5" s="203" t="s">
        <v>624</v>
      </c>
      <c r="L5" s="221">
        <v>45566</v>
      </c>
      <c r="M5" s="221">
        <v>45930</v>
      </c>
      <c r="N5" s="222"/>
      <c r="O5" s="222"/>
      <c r="P5" s="223"/>
      <c r="Q5" s="223"/>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24"/>
      <c r="CK5" s="375"/>
      <c r="CL5" s="375"/>
      <c r="CM5" s="380"/>
    </row>
    <row r="6" spans="1:91" s="48" customFormat="1" ht="50.25" customHeight="1" x14ac:dyDescent="0.25">
      <c r="A6" s="377" t="s">
        <v>185</v>
      </c>
      <c r="B6" s="201" t="s">
        <v>183</v>
      </c>
      <c r="C6" s="202" t="s">
        <v>10</v>
      </c>
      <c r="D6" s="201" t="s">
        <v>223</v>
      </c>
      <c r="E6" s="201" t="s">
        <v>186</v>
      </c>
      <c r="F6" s="417" t="s">
        <v>224</v>
      </c>
      <c r="G6" s="202" t="s">
        <v>319</v>
      </c>
      <c r="H6" s="219"/>
      <c r="I6" s="219" t="s">
        <v>316</v>
      </c>
      <c r="J6" s="220"/>
      <c r="K6" s="203" t="s">
        <v>625</v>
      </c>
      <c r="L6" s="221">
        <v>45474</v>
      </c>
      <c r="M6" s="221">
        <v>45838</v>
      </c>
      <c r="N6" s="222"/>
      <c r="O6" s="222"/>
      <c r="P6" s="223"/>
      <c r="Q6" s="223"/>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375"/>
      <c r="BW6" s="375"/>
      <c r="BX6" s="375"/>
      <c r="BY6" s="375"/>
      <c r="BZ6" s="375"/>
      <c r="CA6" s="219"/>
      <c r="CB6" s="219"/>
      <c r="CC6" s="219"/>
      <c r="CD6" s="219"/>
      <c r="CE6" s="219"/>
      <c r="CF6" s="219"/>
      <c r="CG6" s="219"/>
      <c r="CH6" s="219"/>
      <c r="CI6" s="219"/>
      <c r="CJ6" s="224"/>
      <c r="CK6" s="219"/>
      <c r="CL6" s="219"/>
      <c r="CM6" s="379"/>
    </row>
    <row r="7" spans="1:91" s="48" customFormat="1" ht="41.25" customHeight="1" x14ac:dyDescent="0.25">
      <c r="A7" s="377" t="s">
        <v>142</v>
      </c>
      <c r="B7" s="201" t="s">
        <v>183</v>
      </c>
      <c r="C7" s="202" t="s">
        <v>10</v>
      </c>
      <c r="D7" s="201" t="s">
        <v>227</v>
      </c>
      <c r="E7" s="201" t="s">
        <v>188</v>
      </c>
      <c r="F7" s="203" t="s">
        <v>228</v>
      </c>
      <c r="G7" s="202" t="s">
        <v>319</v>
      </c>
      <c r="H7" s="219"/>
      <c r="I7" s="219" t="s">
        <v>316</v>
      </c>
      <c r="J7" s="220"/>
      <c r="K7" s="203" t="s">
        <v>623</v>
      </c>
      <c r="L7" s="221">
        <v>45566</v>
      </c>
      <c r="M7" s="221">
        <v>45930</v>
      </c>
      <c r="N7" s="222"/>
      <c r="O7" s="222"/>
      <c r="P7" s="223"/>
      <c r="Q7" s="223"/>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375"/>
      <c r="BW7" s="375"/>
      <c r="BX7" s="375"/>
      <c r="BY7" s="375"/>
      <c r="BZ7" s="375"/>
      <c r="CA7" s="219"/>
      <c r="CB7" s="219"/>
      <c r="CC7" s="219"/>
      <c r="CD7" s="219"/>
      <c r="CE7" s="219"/>
      <c r="CF7" s="219"/>
      <c r="CG7" s="219"/>
      <c r="CH7" s="219"/>
      <c r="CI7" s="219"/>
      <c r="CJ7" s="224"/>
      <c r="CK7" s="219"/>
      <c r="CL7" s="219"/>
      <c r="CM7" s="379"/>
    </row>
    <row r="8" spans="1:91" s="48" customFormat="1" ht="29.25" customHeight="1" x14ac:dyDescent="0.25">
      <c r="A8" s="377" t="s">
        <v>182</v>
      </c>
      <c r="B8" s="201" t="s">
        <v>183</v>
      </c>
      <c r="C8" s="202" t="s">
        <v>10</v>
      </c>
      <c r="D8" s="201" t="s">
        <v>221</v>
      </c>
      <c r="E8" s="201" t="s">
        <v>184</v>
      </c>
      <c r="F8" s="389" t="s">
        <v>222</v>
      </c>
      <c r="G8" s="202" t="s">
        <v>319</v>
      </c>
      <c r="H8" s="219"/>
      <c r="I8" s="219" t="s">
        <v>316</v>
      </c>
      <c r="J8" s="220"/>
      <c r="K8" s="203" t="s">
        <v>627</v>
      </c>
      <c r="L8" s="221">
        <v>45474</v>
      </c>
      <c r="M8" s="221">
        <v>45838</v>
      </c>
      <c r="N8" s="222"/>
      <c r="O8" s="222"/>
      <c r="P8" s="223"/>
      <c r="Q8" s="223"/>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375"/>
      <c r="BW8" s="375"/>
      <c r="BX8" s="375"/>
      <c r="BY8" s="375"/>
      <c r="BZ8" s="375"/>
      <c r="CA8" s="219"/>
      <c r="CB8" s="219"/>
      <c r="CC8" s="219"/>
      <c r="CD8" s="219"/>
      <c r="CE8" s="219"/>
      <c r="CF8" s="219"/>
      <c r="CG8" s="219"/>
      <c r="CH8" s="219"/>
      <c r="CI8" s="219"/>
      <c r="CJ8" s="224"/>
      <c r="CK8" s="219"/>
      <c r="CL8" s="219"/>
      <c r="CM8" s="379"/>
    </row>
    <row r="9" spans="1:91" s="48" customFormat="1" ht="38.25" x14ac:dyDescent="0.25">
      <c r="A9" s="376" t="s">
        <v>215</v>
      </c>
      <c r="B9" s="189" t="s">
        <v>183</v>
      </c>
      <c r="C9" s="190" t="s">
        <v>10</v>
      </c>
      <c r="D9" s="189" t="s">
        <v>216</v>
      </c>
      <c r="E9" s="189" t="s">
        <v>217</v>
      </c>
      <c r="F9" s="191" t="s">
        <v>314</v>
      </c>
      <c r="G9" s="191" t="s">
        <v>315</v>
      </c>
      <c r="H9" s="213">
        <v>16</v>
      </c>
      <c r="I9" s="213" t="s">
        <v>316</v>
      </c>
      <c r="J9" s="214">
        <v>0.25</v>
      </c>
      <c r="K9" s="191" t="s">
        <v>317</v>
      </c>
      <c r="L9" s="215">
        <v>44835</v>
      </c>
      <c r="M9" s="215">
        <v>45199</v>
      </c>
      <c r="N9" s="216">
        <v>100000</v>
      </c>
      <c r="O9" s="216">
        <v>100000</v>
      </c>
      <c r="P9" s="217">
        <v>1</v>
      </c>
      <c r="Q9" s="217">
        <v>4</v>
      </c>
      <c r="R9" s="213" t="s">
        <v>318</v>
      </c>
      <c r="S9" s="213" t="s">
        <v>318</v>
      </c>
      <c r="T9" s="213" t="s">
        <v>318</v>
      </c>
      <c r="U9" s="213">
        <v>24</v>
      </c>
      <c r="V9" s="213">
        <v>21</v>
      </c>
      <c r="W9" s="213">
        <v>0</v>
      </c>
      <c r="X9" s="213">
        <v>0</v>
      </c>
      <c r="Y9" s="213">
        <v>1</v>
      </c>
      <c r="Z9" s="213">
        <v>2</v>
      </c>
      <c r="AA9" s="213">
        <v>0</v>
      </c>
      <c r="AB9" s="213">
        <v>4</v>
      </c>
      <c r="AC9" s="213">
        <v>23</v>
      </c>
      <c r="AD9" s="213">
        <v>20</v>
      </c>
      <c r="AE9" s="213">
        <v>19</v>
      </c>
      <c r="AF9" s="213">
        <v>17</v>
      </c>
      <c r="AG9" s="213">
        <v>15</v>
      </c>
      <c r="AH9" s="213">
        <v>15</v>
      </c>
      <c r="AI9" s="213">
        <v>15</v>
      </c>
      <c r="AJ9" s="213">
        <v>1</v>
      </c>
      <c r="AK9" s="213">
        <v>2</v>
      </c>
      <c r="AL9" s="213">
        <v>3</v>
      </c>
      <c r="AM9" s="213">
        <v>0</v>
      </c>
      <c r="AN9" s="213">
        <v>10</v>
      </c>
      <c r="AO9" s="213">
        <v>0</v>
      </c>
      <c r="AP9" s="213">
        <v>4</v>
      </c>
      <c r="AQ9" s="213">
        <v>0</v>
      </c>
      <c r="AR9" s="213">
        <v>19</v>
      </c>
      <c r="AS9" s="213">
        <v>2</v>
      </c>
      <c r="AT9" s="213">
        <v>0</v>
      </c>
      <c r="AU9" s="213">
        <v>0</v>
      </c>
      <c r="AV9" s="213">
        <v>1</v>
      </c>
      <c r="AW9" s="213">
        <v>0</v>
      </c>
      <c r="AX9" s="213">
        <v>21</v>
      </c>
      <c r="AY9" s="213">
        <v>1</v>
      </c>
      <c r="AZ9" s="213">
        <v>16</v>
      </c>
      <c r="BA9" s="213">
        <v>0</v>
      </c>
      <c r="BB9" s="213">
        <v>21</v>
      </c>
      <c r="BC9" s="213">
        <v>0</v>
      </c>
      <c r="BD9" s="213">
        <v>0</v>
      </c>
      <c r="BE9" s="213">
        <v>3</v>
      </c>
      <c r="BF9" s="213">
        <v>15</v>
      </c>
      <c r="BG9" s="213">
        <v>6</v>
      </c>
      <c r="BH9" s="213">
        <v>5</v>
      </c>
      <c r="BI9" s="213">
        <v>3</v>
      </c>
      <c r="BJ9" s="213">
        <v>4</v>
      </c>
      <c r="BK9" s="213">
        <v>2</v>
      </c>
      <c r="BL9" s="213">
        <v>5</v>
      </c>
      <c r="BM9" s="213">
        <v>4</v>
      </c>
      <c r="BN9" s="213">
        <v>1</v>
      </c>
      <c r="BO9" s="213">
        <v>2</v>
      </c>
      <c r="BP9" s="213">
        <v>11</v>
      </c>
      <c r="BQ9" s="213">
        <v>4</v>
      </c>
      <c r="BR9" s="213">
        <v>0</v>
      </c>
      <c r="BS9" s="213">
        <v>0</v>
      </c>
      <c r="BT9" s="213">
        <v>15</v>
      </c>
      <c r="BU9" s="213">
        <v>6</v>
      </c>
      <c r="BV9" s="213">
        <v>0</v>
      </c>
      <c r="BW9" s="213">
        <v>0</v>
      </c>
      <c r="BX9" s="213">
        <v>0</v>
      </c>
      <c r="BY9" s="213">
        <v>1</v>
      </c>
      <c r="BZ9" s="213">
        <v>24</v>
      </c>
      <c r="CA9" s="213">
        <v>16</v>
      </c>
      <c r="CB9" s="213">
        <v>5.14</v>
      </c>
      <c r="CC9" s="213">
        <v>1</v>
      </c>
      <c r="CD9" s="213">
        <v>0</v>
      </c>
      <c r="CE9" s="213">
        <v>0</v>
      </c>
      <c r="CF9" s="213">
        <v>0</v>
      </c>
      <c r="CG9" s="213">
        <v>8</v>
      </c>
      <c r="CH9" s="213">
        <v>6</v>
      </c>
      <c r="CI9" s="213">
        <v>0</v>
      </c>
      <c r="CJ9" s="218">
        <v>0.75</v>
      </c>
      <c r="CK9" s="213">
        <v>14</v>
      </c>
      <c r="CL9" s="213">
        <v>0</v>
      </c>
      <c r="CM9" s="378">
        <v>20</v>
      </c>
    </row>
    <row r="10" spans="1:91" s="46" customFormat="1" ht="38.25" x14ac:dyDescent="0.25">
      <c r="A10" s="386" t="s">
        <v>219</v>
      </c>
      <c r="B10" s="387" t="s">
        <v>183</v>
      </c>
      <c r="C10" s="388" t="s">
        <v>11</v>
      </c>
      <c r="D10" s="387" t="s">
        <v>216</v>
      </c>
      <c r="E10" s="387" t="s">
        <v>220</v>
      </c>
      <c r="F10" s="390" t="s">
        <v>314</v>
      </c>
      <c r="G10" s="390" t="s">
        <v>315</v>
      </c>
      <c r="H10" s="391">
        <v>80</v>
      </c>
      <c r="I10" s="391" t="s">
        <v>316</v>
      </c>
      <c r="J10" s="392">
        <v>0.25</v>
      </c>
      <c r="K10" s="390" t="s">
        <v>317</v>
      </c>
      <c r="L10" s="393">
        <v>44835</v>
      </c>
      <c r="M10" s="393">
        <v>45199</v>
      </c>
      <c r="N10" s="394">
        <v>90000</v>
      </c>
      <c r="O10" s="394">
        <v>100000</v>
      </c>
      <c r="P10" s="395">
        <v>1</v>
      </c>
      <c r="Q10" s="395">
        <v>8</v>
      </c>
      <c r="R10" s="391" t="s">
        <v>318</v>
      </c>
      <c r="S10" s="391" t="s">
        <v>318</v>
      </c>
      <c r="T10" s="391" t="s">
        <v>318</v>
      </c>
      <c r="U10" s="391">
        <v>216</v>
      </c>
      <c r="V10" s="391">
        <v>124</v>
      </c>
      <c r="W10" s="391">
        <v>0</v>
      </c>
      <c r="X10" s="391">
        <v>32</v>
      </c>
      <c r="Y10" s="391">
        <v>13</v>
      </c>
      <c r="Z10" s="391">
        <v>11</v>
      </c>
      <c r="AA10" s="391">
        <v>3</v>
      </c>
      <c r="AB10" s="391">
        <v>97</v>
      </c>
      <c r="AC10" s="391">
        <v>174</v>
      </c>
      <c r="AD10" s="391">
        <v>110</v>
      </c>
      <c r="AE10" s="391">
        <v>92</v>
      </c>
      <c r="AF10" s="391">
        <v>23</v>
      </c>
      <c r="AG10" s="391">
        <v>28</v>
      </c>
      <c r="AH10" s="391">
        <v>36</v>
      </c>
      <c r="AI10" s="391">
        <v>31</v>
      </c>
      <c r="AJ10" s="391">
        <v>25</v>
      </c>
      <c r="AK10" s="391">
        <v>13</v>
      </c>
      <c r="AL10" s="391">
        <v>0</v>
      </c>
      <c r="AM10" s="391">
        <v>0</v>
      </c>
      <c r="AN10" s="391">
        <v>15</v>
      </c>
      <c r="AO10" s="391">
        <v>15</v>
      </c>
      <c r="AP10" s="391">
        <v>21</v>
      </c>
      <c r="AQ10" s="391">
        <v>8</v>
      </c>
      <c r="AR10" s="391">
        <v>65</v>
      </c>
      <c r="AS10" s="391">
        <v>59</v>
      </c>
      <c r="AT10" s="391">
        <v>0</v>
      </c>
      <c r="AU10" s="391">
        <v>0</v>
      </c>
      <c r="AV10" s="391">
        <v>60</v>
      </c>
      <c r="AW10" s="391">
        <v>0</v>
      </c>
      <c r="AX10" s="391">
        <v>125</v>
      </c>
      <c r="AY10" s="391">
        <v>55</v>
      </c>
      <c r="AZ10" s="391">
        <v>103</v>
      </c>
      <c r="BA10" s="391">
        <v>0</v>
      </c>
      <c r="BB10" s="391">
        <v>125</v>
      </c>
      <c r="BC10" s="391">
        <v>0</v>
      </c>
      <c r="BD10" s="391">
        <v>0</v>
      </c>
      <c r="BE10" s="391">
        <v>81</v>
      </c>
      <c r="BF10" s="391">
        <v>82</v>
      </c>
      <c r="BG10" s="391">
        <v>42</v>
      </c>
      <c r="BH10" s="391">
        <v>5</v>
      </c>
      <c r="BI10" s="391">
        <v>10</v>
      </c>
      <c r="BJ10" s="391">
        <v>2</v>
      </c>
      <c r="BK10" s="391">
        <v>3</v>
      </c>
      <c r="BL10" s="391">
        <v>1</v>
      </c>
      <c r="BM10" s="391">
        <v>0</v>
      </c>
      <c r="BN10" s="391">
        <v>5</v>
      </c>
      <c r="BO10" s="391">
        <v>5</v>
      </c>
      <c r="BP10" s="391">
        <v>1</v>
      </c>
      <c r="BQ10" s="391">
        <v>31</v>
      </c>
      <c r="BR10" s="391">
        <v>0</v>
      </c>
      <c r="BS10" s="391">
        <v>0</v>
      </c>
      <c r="BT10" s="391">
        <v>82</v>
      </c>
      <c r="BU10" s="391">
        <v>41</v>
      </c>
      <c r="BV10" s="391">
        <v>33</v>
      </c>
      <c r="BW10" s="391">
        <v>29</v>
      </c>
      <c r="BX10" s="391">
        <v>18</v>
      </c>
      <c r="BY10" s="391">
        <v>43</v>
      </c>
      <c r="BZ10" s="391">
        <v>216</v>
      </c>
      <c r="CA10" s="391">
        <v>142</v>
      </c>
      <c r="CB10" s="391">
        <v>21.14</v>
      </c>
      <c r="CC10" s="391">
        <v>0</v>
      </c>
      <c r="CD10" s="391">
        <v>0</v>
      </c>
      <c r="CE10" s="391">
        <v>0</v>
      </c>
      <c r="CF10" s="391">
        <v>0</v>
      </c>
      <c r="CG10" s="391">
        <v>74</v>
      </c>
      <c r="CH10" s="391">
        <v>67</v>
      </c>
      <c r="CI10" s="391">
        <v>0</v>
      </c>
      <c r="CJ10" s="396">
        <v>0.90500000000000003</v>
      </c>
      <c r="CK10" s="391">
        <v>6</v>
      </c>
      <c r="CL10" s="391">
        <v>1</v>
      </c>
      <c r="CM10" s="397">
        <v>110</v>
      </c>
    </row>
    <row r="12" spans="1:91" x14ac:dyDescent="0.25">
      <c r="S12" s="2" t="s">
        <v>320</v>
      </c>
    </row>
  </sheetData>
  <phoneticPr fontId="37" type="noConversion"/>
  <conditionalFormatting sqref="A4:A10">
    <cfRule type="expression" dxfId="1" priority="1">
      <formula>(#REF!&gt;1)</formula>
    </cfRule>
  </conditionalFormatting>
  <dataValidations count="2">
    <dataValidation type="list" allowBlank="1" showInputMessage="1" showErrorMessage="1" sqref="B4:B9" xr:uid="{D464F017-CC07-4A7D-BFB8-07FC1541D0E8}">
      <formula1>"PH, TH, Joint TH &amp; PH-RRH, HMIS, SSO, TRA, PRA, SRA, S+C/SRO"</formula1>
    </dataValidation>
    <dataValidation type="list" allowBlank="1" showInputMessage="1" showErrorMessage="1" sqref="G4:G10" xr:uid="{6094B439-67A8-4D57-ACF0-8E778D1024B9}">
      <formula1>"Tenant-Based,Site-Based"</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Standards</vt:lpstr>
      <vt:lpstr>Calculations</vt:lpstr>
      <vt:lpstr>Measure Types</vt:lpstr>
      <vt:lpstr>PSH Project Report</vt:lpstr>
      <vt:lpstr>RRH Project Report</vt:lpstr>
      <vt:lpstr>Summary Report</vt:lpstr>
      <vt:lpstr>Scoring Calculator</vt:lpstr>
      <vt:lpstr>Raw Project Data</vt:lpstr>
      <vt:lpstr>Example Shell Tables</vt:lpstr>
      <vt:lpstr>vlookup- do not delete</vt:lpstr>
      <vt:lpstr>'Example Shell Tables'!Print_Area</vt:lpstr>
      <vt:lpstr>'PSH Project Report'!Print_Area</vt:lpstr>
      <vt:lpstr>'RRH Project Report'!Print_Area</vt:lpstr>
      <vt:lpstr>'Example Shell Tables'!Print_Titles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Myles</dc:creator>
  <cp:keywords/>
  <dc:description/>
  <cp:lastModifiedBy>La Patra, Alicia</cp:lastModifiedBy>
  <cp:revision/>
  <dcterms:created xsi:type="dcterms:W3CDTF">2017-04-22T06:23:37Z</dcterms:created>
  <dcterms:modified xsi:type="dcterms:W3CDTF">2026-06-15T21:11:29Z</dcterms:modified>
  <cp:category/>
  <cp:contentStatus/>
</cp:coreProperties>
</file>